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defaultThemeVersion="124226"/>
  <mc:AlternateContent xmlns:mc="http://schemas.openxmlformats.org/markup-compatibility/2006">
    <mc:Choice Requires="x15">
      <x15ac:absPath xmlns:x15ac="http://schemas.microsoft.com/office/spreadsheetml/2010/11/ac" url="https://lincolnavenuecapital.sharepoint.com/sites/LACHome/Live/CA/Avenue 42 - Indio, CA/05. Financing/Tax Credits (CTCAC)/Tax Credit Application 04.13.26/DRAFT/"/>
    </mc:Choice>
  </mc:AlternateContent>
  <xr:revisionPtr revIDLastSave="30" documentId="8_{DFE9D4D5-A859-415F-9CC8-9B7321CCFF48}" xr6:coauthVersionLast="47" xr6:coauthVersionMax="47" xr10:uidLastSave="{F5AE34FA-5E5A-4BC1-A0C7-7D63A44D71F0}"/>
  <workbookProtection workbookAlgorithmName="SHA-512" workbookHashValue="YuhBrYdK8nqAJkR8NgC5cxdB3shNafSNq8K+Z637cyyAqXN+It6d7wP93IQ6rzdXd0/+pW0MlQD+yfvDQ0EH6w==" workbookSaltValue="CrA/tfdsF3jDRxUgXybMiA==" workbookSpinCount="100000" lockStructure="1"/>
  <bookViews>
    <workbookView xWindow="-38510" yWindow="-110" windowWidth="19420" windowHeight="1150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1" i="3" l="1"/>
  <c r="AG452" i="3" s="1"/>
  <c r="AG457" i="3" s="1"/>
  <c r="C99" i="4" l="1"/>
  <c r="C75" i="4"/>
  <c r="AO639" i="3"/>
  <c r="AM567" i="3"/>
  <c r="A66" i="7"/>
  <c r="E47" i="4" l="1"/>
  <c r="A42" i="7"/>
  <c r="A41" i="7"/>
  <c r="W878" i="3"/>
  <c r="O740" i="3"/>
  <c r="O739" i="3"/>
  <c r="O738" i="3"/>
  <c r="O737" i="3"/>
  <c r="O736" i="3"/>
  <c r="O735" i="3"/>
  <c r="O734" i="3"/>
  <c r="O733" i="3"/>
  <c r="O732" i="3"/>
  <c r="O731" i="3"/>
  <c r="O730" i="3"/>
  <c r="O729" i="3"/>
  <c r="O728" i="3"/>
  <c r="O727" i="3"/>
  <c r="O726" i="3"/>
  <c r="Q637" i="3"/>
  <c r="Q638" i="3" s="1"/>
  <c r="Q636" i="3"/>
  <c r="Q635" i="3"/>
  <c r="T637" i="3"/>
  <c r="T636" i="3"/>
  <c r="T635" i="3"/>
  <c r="E41" i="7"/>
  <c r="E101" i="4"/>
  <c r="E100" i="4"/>
  <c r="E94" i="4"/>
  <c r="E93" i="4"/>
  <c r="E92" i="4"/>
  <c r="E91" i="4"/>
  <c r="E90" i="4"/>
  <c r="E89" i="4"/>
  <c r="E87" i="4"/>
  <c r="E84" i="4"/>
  <c r="E80" i="4"/>
  <c r="E79" i="4"/>
  <c r="E69" i="4"/>
  <c r="E65" i="4"/>
  <c r="E57" i="4"/>
  <c r="E52" i="4"/>
  <c r="E51" i="4"/>
  <c r="E43" i="4"/>
  <c r="E41" i="4"/>
  <c r="E40" i="4"/>
  <c r="E4" i="4"/>
  <c r="AF842" i="20" l="1"/>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E37" i="4" l="1"/>
  <c r="AO60" i="20"/>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A40" i="7"/>
  <c r="E33" i="7"/>
  <c r="E32" i="7"/>
  <c r="E31" i="7"/>
  <c r="E30" i="7"/>
  <c r="E28" i="7"/>
  <c r="E27" i="7"/>
  <c r="E26" i="7"/>
  <c r="E15" i="7"/>
  <c r="G15"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B68" i="4"/>
  <c r="B69" i="4"/>
  <c r="R66" i="4"/>
  <c r="R67" i="4"/>
  <c r="R68" i="4"/>
  <c r="A104" i="11"/>
  <c r="C101" i="11"/>
  <c r="C102" i="11"/>
  <c r="C104" i="11"/>
  <c r="B101" i="11"/>
  <c r="B102" i="11"/>
  <c r="B104" i="11"/>
  <c r="C85" i="11"/>
  <c r="C86" i="11"/>
  <c r="C88" i="11"/>
  <c r="C90" i="11"/>
  <c r="C91" i="11"/>
  <c r="C92" i="11"/>
  <c r="C93" i="11"/>
  <c r="C94" i="11"/>
  <c r="C95" i="11"/>
  <c r="C96" i="11"/>
  <c r="B85" i="11"/>
  <c r="B86" i="11"/>
  <c r="B88" i="11"/>
  <c r="B90" i="11"/>
  <c r="B91" i="11"/>
  <c r="B92" i="11"/>
  <c r="B93" i="11"/>
  <c r="B94" i="11"/>
  <c r="B95" i="11"/>
  <c r="B96" i="11"/>
  <c r="A70" i="11"/>
  <c r="C67" i="11"/>
  <c r="C68" i="11"/>
  <c r="C69" i="11"/>
  <c r="C70" i="11"/>
  <c r="B67" i="11"/>
  <c r="B68" i="11"/>
  <c r="B69" i="11"/>
  <c r="B70" i="11"/>
  <c r="A62" i="11"/>
  <c r="A54" i="11"/>
  <c r="A38" i="11"/>
  <c r="A26" i="11"/>
  <c r="C35" i="11"/>
  <c r="C36" i="11"/>
  <c r="C37" i="11"/>
  <c r="C38"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3" i="13"/>
  <c r="B100" i="13"/>
  <c r="B101" i="13"/>
  <c r="B103" i="13"/>
  <c r="A69" i="13"/>
  <c r="H66" i="13"/>
  <c r="H67" i="13"/>
  <c r="H68" i="13"/>
  <c r="H69" i="13"/>
  <c r="E66" i="13"/>
  <c r="E67" i="13"/>
  <c r="E68" i="13"/>
  <c r="E69" i="13"/>
  <c r="B66" i="13"/>
  <c r="B67" i="13"/>
  <c r="B68" i="13"/>
  <c r="B69" i="13"/>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5" i="13"/>
  <c r="E84" i="13"/>
  <c r="E79" i="13"/>
  <c r="E65" i="13"/>
  <c r="E53" i="13"/>
  <c r="E52" i="13"/>
  <c r="E51" i="13"/>
  <c r="E47" i="13"/>
  <c r="E43" i="13"/>
  <c r="E41" i="13"/>
  <c r="E40" i="13"/>
  <c r="E37" i="13"/>
  <c r="E27" i="13"/>
  <c r="E25" i="13"/>
  <c r="E23" i="13"/>
  <c r="E22" i="13"/>
  <c r="E21" i="13"/>
  <c r="E20" i="13"/>
  <c r="E19" i="13"/>
  <c r="E18" i="13"/>
  <c r="E17" i="13"/>
  <c r="E15" i="13"/>
  <c r="E14" i="13"/>
  <c r="E13" i="13"/>
  <c r="E10" i="13"/>
  <c r="B95" i="13"/>
  <c r="B94" i="13"/>
  <c r="B93" i="13"/>
  <c r="B92" i="13"/>
  <c r="B91" i="13"/>
  <c r="B90" i="13"/>
  <c r="B89" i="13"/>
  <c r="B87" i="13"/>
  <c r="B85" i="13"/>
  <c r="B84" i="13"/>
  <c r="B79" i="13"/>
  <c r="B74" i="13"/>
  <c r="B73" i="13"/>
  <c r="B72" i="13"/>
  <c r="B65" i="13"/>
  <c r="B61" i="13"/>
  <c r="B60" i="13"/>
  <c r="B59" i="13"/>
  <c r="B57" i="13"/>
  <c r="B53" i="13"/>
  <c r="B52" i="13"/>
  <c r="B51" i="13"/>
  <c r="B47" i="13"/>
  <c r="B43" i="13"/>
  <c r="C42" i="4"/>
  <c r="B42" i="13" s="1"/>
  <c r="B41" i="13"/>
  <c r="B40" i="13"/>
  <c r="B37" i="13"/>
  <c r="B35" i="13"/>
  <c r="B34"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1" i="4"/>
  <c r="R95" i="4"/>
  <c r="R94" i="4"/>
  <c r="R93" i="4"/>
  <c r="R92" i="4"/>
  <c r="R90" i="4"/>
  <c r="R89" i="4"/>
  <c r="R87" i="4"/>
  <c r="R76" i="4"/>
  <c r="R72" i="4"/>
  <c r="R73" i="4"/>
  <c r="R74" i="4"/>
  <c r="R69" i="4"/>
  <c r="R65" i="4"/>
  <c r="R61" i="4"/>
  <c r="R60" i="4"/>
  <c r="R59" i="4"/>
  <c r="R58" i="4"/>
  <c r="R57" i="4"/>
  <c r="R53" i="4"/>
  <c r="R52" i="4"/>
  <c r="R51" i="4"/>
  <c r="R47" i="4"/>
  <c r="R43" i="4"/>
  <c r="R41" i="4"/>
  <c r="R40" i="4"/>
  <c r="R37" i="4"/>
  <c r="R34" i="4"/>
  <c r="S34" i="4" s="1"/>
  <c r="E34"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41" i="11"/>
  <c r="C41" i="11"/>
  <c r="C42" i="11"/>
  <c r="B42" i="11"/>
  <c r="B44" i="11"/>
  <c r="C44" i="11"/>
  <c r="B48" i="11"/>
  <c r="B52" i="11"/>
  <c r="B53" i="11"/>
  <c r="C48" i="11"/>
  <c r="C52" i="11"/>
  <c r="C53" i="11"/>
  <c r="B58" i="11"/>
  <c r="C58" i="11"/>
  <c r="B60" i="11"/>
  <c r="C60" i="11"/>
  <c r="B61" i="11"/>
  <c r="C61" i="11"/>
  <c r="B62" i="11"/>
  <c r="C62" i="11"/>
  <c r="B66" i="11"/>
  <c r="C66" i="11"/>
  <c r="B73" i="11"/>
  <c r="C73" i="11"/>
  <c r="B74" i="11"/>
  <c r="C74" i="11"/>
  <c r="B75" i="11"/>
  <c r="C75"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S42" i="4"/>
  <c r="E42" i="13" s="1"/>
  <c r="F2" i="4"/>
  <c r="G2" i="4"/>
  <c r="H2" i="4"/>
  <c r="I2" i="4"/>
  <c r="J2" i="4"/>
  <c r="K2" i="4"/>
  <c r="L2" i="4"/>
  <c r="M2" i="4"/>
  <c r="N2" i="4"/>
  <c r="O2" i="4"/>
  <c r="P2" i="4"/>
  <c r="Q2" i="4"/>
  <c r="B4" i="4"/>
  <c r="BE23" i="3" s="1"/>
  <c r="B5" i="4"/>
  <c r="B6" i="4"/>
  <c r="B7" i="4"/>
  <c r="E8" i="4"/>
  <c r="F8" i="4"/>
  <c r="G8" i="4"/>
  <c r="G11" i="4"/>
  <c r="H8" i="4"/>
  <c r="H11" i="4"/>
  <c r="I8" i="4"/>
  <c r="I11" i="4"/>
  <c r="J8" i="4"/>
  <c r="J11" i="4"/>
  <c r="J26" i="4"/>
  <c r="J42" i="4"/>
  <c r="J54" i="4"/>
  <c r="J62" i="4"/>
  <c r="J70" i="4"/>
  <c r="J96"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N26" i="4"/>
  <c r="N38" i="4"/>
  <c r="N42" i="4"/>
  <c r="N54" i="4"/>
  <c r="N62" i="4"/>
  <c r="N70" i="4"/>
  <c r="N77" i="4"/>
  <c r="N96" i="4"/>
  <c r="N104" i="4"/>
  <c r="O26" i="4"/>
  <c r="P26" i="4"/>
  <c r="Q26" i="4"/>
  <c r="B27" i="4"/>
  <c r="B34" i="4"/>
  <c r="B35" i="4"/>
  <c r="B37" i="4"/>
  <c r="G38" i="4"/>
  <c r="K38" i="4"/>
  <c r="L38" i="4"/>
  <c r="O38" i="4"/>
  <c r="P38" i="4"/>
  <c r="P42" i="4"/>
  <c r="P54" i="4"/>
  <c r="P62" i="4"/>
  <c r="P70" i="4"/>
  <c r="P77" i="4"/>
  <c r="P96" i="4"/>
  <c r="P104" i="4"/>
  <c r="Q38" i="4"/>
  <c r="B40" i="4"/>
  <c r="B41" i="4"/>
  <c r="E42" i="4"/>
  <c r="G42" i="4"/>
  <c r="H42" i="4"/>
  <c r="K42" i="4"/>
  <c r="L42" i="4"/>
  <c r="O42" i="4"/>
  <c r="Q42" i="4"/>
  <c r="B43" i="4"/>
  <c r="B47" i="4"/>
  <c r="B51" i="4"/>
  <c r="B52" i="4"/>
  <c r="B53" i="4"/>
  <c r="G54" i="4"/>
  <c r="H54" i="4"/>
  <c r="O54" i="4"/>
  <c r="Q54" i="4"/>
  <c r="B57" i="4"/>
  <c r="B60" i="4"/>
  <c r="B61" i="4"/>
  <c r="G62" i="4"/>
  <c r="H62" i="4"/>
  <c r="K62" i="4"/>
  <c r="L62" i="4"/>
  <c r="O62" i="4"/>
  <c r="O70" i="4"/>
  <c r="O77" i="4"/>
  <c r="O96" i="4"/>
  <c r="O104" i="4"/>
  <c r="Q62" i="4"/>
  <c r="B65" i="4"/>
  <c r="E70" i="4"/>
  <c r="F70" i="4"/>
  <c r="G70" i="4"/>
  <c r="H70" i="4"/>
  <c r="I70" i="4"/>
  <c r="K70" i="4"/>
  <c r="L70" i="4"/>
  <c r="Q70" i="4"/>
  <c r="B72" i="4"/>
  <c r="B73" i="4"/>
  <c r="B74" i="4"/>
  <c r="F77" i="4"/>
  <c r="G77" i="4"/>
  <c r="H77" i="4"/>
  <c r="I77" i="4"/>
  <c r="L77" i="4"/>
  <c r="Q77" i="4"/>
  <c r="B79" i="4"/>
  <c r="B84" i="4"/>
  <c r="B85" i="4"/>
  <c r="I85" i="4" s="1"/>
  <c r="B87" i="4"/>
  <c r="B89" i="4"/>
  <c r="B90" i="4"/>
  <c r="B91" i="4"/>
  <c r="B92" i="4"/>
  <c r="B93" i="4"/>
  <c r="B94" i="4"/>
  <c r="B95" i="4"/>
  <c r="F96" i="4"/>
  <c r="G96" i="4"/>
  <c r="H96" i="4"/>
  <c r="K96" i="4"/>
  <c r="L96" i="4"/>
  <c r="Q96" i="4"/>
  <c r="B101" i="4"/>
  <c r="B103" i="4"/>
  <c r="F104" i="4"/>
  <c r="G104" i="4"/>
  <c r="H104" i="4"/>
  <c r="I104" i="4"/>
  <c r="Q104" i="4"/>
  <c r="G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X742" i="3"/>
  <c r="X743" i="3"/>
  <c r="X744" i="3"/>
  <c r="X745" i="3"/>
  <c r="X746" i="3"/>
  <c r="X747" i="3"/>
  <c r="X748" i="3"/>
  <c r="X749" i="3"/>
  <c r="M840" i="3"/>
  <c r="Q840" i="3"/>
  <c r="U840" i="3"/>
  <c r="Y840" i="3"/>
  <c r="AC840" i="3"/>
  <c r="AG840" i="3"/>
  <c r="Z911" i="3"/>
  <c r="I96" i="4" l="1"/>
  <c r="E85" i="4"/>
  <c r="R85" i="4" s="1"/>
  <c r="B26" i="4"/>
  <c r="D35" i="11"/>
  <c r="B8" i="13"/>
  <c r="T20" i="21"/>
  <c r="AD7" i="15"/>
  <c r="AD68" i="15"/>
  <c r="BE24" i="3"/>
  <c r="BE69" i="3"/>
  <c r="D36" i="11"/>
  <c r="D94" i="11"/>
  <c r="D86" i="11"/>
  <c r="D6" i="11"/>
  <c r="D25" i="11"/>
  <c r="D91" i="11"/>
  <c r="D54" i="11"/>
  <c r="D90" i="11"/>
  <c r="D70" i="11"/>
  <c r="D93" i="11"/>
  <c r="D85" i="11"/>
  <c r="D101" i="11"/>
  <c r="D92" i="11"/>
  <c r="D96" i="11"/>
  <c r="D88" i="11"/>
  <c r="D104" i="11"/>
  <c r="C82" i="11"/>
  <c r="B8" i="4"/>
  <c r="N184" i="24" s="1"/>
  <c r="D95" i="11"/>
  <c r="C12" i="4"/>
  <c r="B12" i="13" s="1"/>
  <c r="D75" i="11"/>
  <c r="D62" i="11"/>
  <c r="D58" i="11"/>
  <c r="L12" i="4"/>
  <c r="D38" i="11"/>
  <c r="B42" i="4"/>
  <c r="H12" i="4"/>
  <c r="D48" i="11"/>
  <c r="D20" i="11"/>
  <c r="D15" i="11"/>
  <c r="D8" i="11"/>
  <c r="D41" i="11"/>
  <c r="D12" i="13"/>
  <c r="D74" i="11"/>
  <c r="C12" i="13"/>
  <c r="D73" i="11"/>
  <c r="D53" i="11"/>
  <c r="D21" i="11"/>
  <c r="D16" i="11"/>
  <c r="B12" i="11"/>
  <c r="D5" i="11"/>
  <c r="D66" i="11"/>
  <c r="D42" i="11"/>
  <c r="D28" i="11"/>
  <c r="N63" i="4"/>
  <c r="N97" i="4" s="1"/>
  <c r="N105" i="4" s="1"/>
  <c r="E12" i="4"/>
  <c r="D12" i="4"/>
  <c r="C43" i="11"/>
  <c r="F12" i="4"/>
  <c r="D11" i="11"/>
  <c r="F63" i="13"/>
  <c r="F97" i="13" s="1"/>
  <c r="F105" i="13" s="1"/>
  <c r="F107" i="13" s="1"/>
  <c r="D24" i="11"/>
  <c r="B71" i="11"/>
  <c r="O12" i="4"/>
  <c r="D10" i="11"/>
  <c r="B43" i="11"/>
  <c r="Q12" i="4"/>
  <c r="K12" i="4"/>
  <c r="D61" i="11"/>
  <c r="B9" i="11"/>
  <c r="J12" i="4"/>
  <c r="D22" i="11"/>
  <c r="D80" i="11"/>
  <c r="O63" i="4"/>
  <c r="O97" i="4" s="1"/>
  <c r="O105" i="4" s="1"/>
  <c r="M63" i="4"/>
  <c r="M97" i="4" s="1"/>
  <c r="N12" i="4"/>
  <c r="I12" i="4"/>
  <c r="B70" i="4"/>
  <c r="D102" i="11"/>
  <c r="P63" i="4"/>
  <c r="P97" i="4" s="1"/>
  <c r="P105" i="4" s="1"/>
  <c r="I63" i="13"/>
  <c r="I97" i="13" s="1"/>
  <c r="I105" i="13" s="1"/>
  <c r="I107" i="13" s="1"/>
  <c r="C63" i="13"/>
  <c r="C97" i="13" s="1"/>
  <c r="C105" i="13" s="1"/>
  <c r="C71" i="11"/>
  <c r="R70" i="4"/>
  <c r="B81" i="4"/>
  <c r="R11" i="4"/>
  <c r="G58" i="7"/>
  <c r="I63" i="4"/>
  <c r="D52" i="11"/>
  <c r="D44" i="11"/>
  <c r="D18" i="11"/>
  <c r="C12" i="11"/>
  <c r="Q63" i="4"/>
  <c r="Q97" i="4" s="1"/>
  <c r="Q105" i="4" s="1"/>
  <c r="B11" i="4"/>
  <c r="J63" i="13"/>
  <c r="J97" i="13" s="1"/>
  <c r="J105" i="13" s="1"/>
  <c r="J107" i="13" s="1"/>
  <c r="D81" i="11"/>
  <c r="D60" i="11"/>
  <c r="M12" i="4"/>
  <c r="D63" i="4"/>
  <c r="D97" i="4" s="1"/>
  <c r="D105" i="4" s="1"/>
  <c r="BE68" i="3" s="1"/>
  <c r="R26" i="4"/>
  <c r="R42" i="4"/>
  <c r="D63" i="13"/>
  <c r="D97" i="13" s="1"/>
  <c r="D105" i="13" s="1"/>
  <c r="D23" i="11"/>
  <c r="D19" i="11"/>
  <c r="D14" i="11"/>
  <c r="D7" i="11"/>
  <c r="R8" i="4"/>
  <c r="G63" i="13"/>
  <c r="G97" i="13" s="1"/>
  <c r="G105" i="13" s="1"/>
  <c r="G107" i="13" s="1"/>
  <c r="R81" i="4"/>
  <c r="M53" i="7"/>
  <c r="K58" i="7"/>
  <c r="C27" i="11"/>
  <c r="B82" i="11"/>
  <c r="G63" i="4"/>
  <c r="G97" i="4" s="1"/>
  <c r="G105" i="4" s="1"/>
  <c r="I58" i="7"/>
  <c r="C9" i="11"/>
  <c r="T63" i="4"/>
  <c r="CI761" i="3"/>
  <c r="X1057" i="3" s="1"/>
  <c r="BG252" i="3"/>
  <c r="BO254" i="3" s="1"/>
  <c r="T276" i="3" s="1"/>
  <c r="AH729" i="3"/>
  <c r="J7" i="8"/>
  <c r="J40" i="8" s="1"/>
  <c r="Z817" i="3" s="1"/>
  <c r="S38" i="21"/>
  <c r="S37" i="21"/>
  <c r="S36" i="21"/>
  <c r="S43" i="21"/>
  <c r="S35"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C7" i="7"/>
  <c r="G12" i="4"/>
  <c r="AF1023" i="3"/>
  <c r="G113" i="21"/>
  <c r="AY1012" i="3"/>
  <c r="I1057" i="3" s="1"/>
  <c r="C806"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C28" i="7"/>
  <c r="AG28" i="7"/>
  <c r="Y28" i="7"/>
  <c r="U28" i="7"/>
  <c r="S28" i="7"/>
  <c r="Q28" i="7"/>
  <c r="W28" i="7"/>
  <c r="I28" i="7"/>
  <c r="O28" i="7"/>
  <c r="AA28" i="7"/>
  <c r="G28" i="7"/>
  <c r="M28" i="7"/>
  <c r="K28"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D27" i="15"/>
  <c r="ET761" i="3"/>
  <c r="T24" i="21"/>
  <c r="B27" i="11"/>
  <c r="D26" i="11"/>
  <c r="T30" i="21"/>
  <c r="T7" i="15"/>
  <c r="P36" i="21" a="1"/>
  <c r="P36" i="21" s="1"/>
  <c r="T28" i="21"/>
  <c r="P40" i="21" a="1"/>
  <c r="P40" i="21" s="1"/>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DZ805" i="3"/>
  <c r="R35" i="21" a="1"/>
  <c r="R35" i="21" s="1"/>
  <c r="R43" i="21" a="1"/>
  <c r="R43" i="21" s="1"/>
  <c r="R31" i="21" a="1"/>
  <c r="R31" i="21" s="1"/>
  <c r="R997" i="3"/>
  <c r="R996" i="3"/>
  <c r="R995" i="3"/>
  <c r="AC785" i="3"/>
  <c r="T41" i="21"/>
  <c r="E104" i="20"/>
  <c r="R23" i="21" a="1"/>
  <c r="R23" i="21" s="1"/>
  <c r="E103" i="20"/>
  <c r="R40" i="21" a="1"/>
  <c r="R40"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I97" i="4" l="1"/>
  <c r="I105" i="4" s="1"/>
  <c r="I15" i="21"/>
  <c r="D43" i="11"/>
  <c r="D71" i="11"/>
  <c r="B12" i="4"/>
  <c r="D82" i="11"/>
  <c r="R12" i="4"/>
  <c r="D12" i="11"/>
  <c r="B13" i="11"/>
  <c r="D27" i="11"/>
  <c r="T97" i="4"/>
  <c r="H63" i="13"/>
  <c r="BE71" i="3"/>
  <c r="D9" i="11"/>
  <c r="C13" i="11"/>
  <c r="O53" i="7"/>
  <c r="M58" i="7"/>
  <c r="BA1048" i="3"/>
  <c r="BA1057" i="3" s="1" a="1"/>
  <c r="BA1057" i="3" s="1"/>
  <c r="AS373" i="20"/>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EC660" i="3"/>
  <c r="I1061" i="3"/>
  <c r="AY1015" i="3" s="1"/>
  <c r="AF837" i="20"/>
  <c r="BE79" i="3" s="1"/>
  <c r="Y27" i="15"/>
  <c r="AI27" i="15"/>
  <c r="T27" i="15"/>
  <c r="Y808" i="3"/>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E29" i="21"/>
  <c r="G24" i="21"/>
  <c r="O34" i="21" l="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AK83" i="20"/>
  <c r="D13" i="11"/>
  <c r="O58" i="7"/>
  <c r="Q53" i="7"/>
  <c r="T105" i="4"/>
  <c r="H97" i="13"/>
  <c r="P20" i="21" a="1"/>
  <c r="P20" i="21" s="1"/>
  <c r="S20" i="21" s="1"/>
  <c r="DU763" i="3"/>
  <c r="O764" i="3" s="1"/>
  <c r="BG761" i="3"/>
  <c r="BU761" i="3"/>
  <c r="AH761" i="3" s="1"/>
  <c r="BE43" i="3" s="1"/>
  <c r="BT761" i="3"/>
  <c r="AX708" i="20"/>
  <c r="AO708" i="20" s="1"/>
  <c r="BH726" i="3"/>
  <c r="DX678" i="3"/>
  <c r="E129" i="20" s="1"/>
  <c r="E132" i="20" s="1"/>
  <c r="E135" i="20" s="1"/>
  <c r="AW121" i="20"/>
  <c r="G4" i="7"/>
  <c r="G5" i="7" s="1"/>
  <c r="EC678" i="3"/>
  <c r="J129" i="20" s="1"/>
  <c r="J132" i="20" s="1"/>
  <c r="J135" i="20" s="1"/>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F27" i="21"/>
  <c r="G52" i="21"/>
  <c r="G54" i="21" s="1"/>
  <c r="G56" i="21" s="1"/>
  <c r="E12" i="21" s="1"/>
  <c r="F28" i="21"/>
  <c r="G28" i="21" s="1"/>
  <c r="G61" i="21"/>
  <c r="G63" i="21" s="1"/>
  <c r="G65" i="21" s="1"/>
  <c r="E13" i="21" s="1"/>
  <c r="AK190" i="20" l="1"/>
  <c r="T827" i="20"/>
  <c r="AF827" i="20" s="1"/>
  <c r="H105" i="13"/>
  <c r="T107" i="4"/>
  <c r="H107" i="13" s="1"/>
  <c r="Q58" i="7"/>
  <c r="S53" i="7"/>
  <c r="G45" i="21"/>
  <c r="G47" i="21" s="1"/>
  <c r="E10" i="21" s="1"/>
  <c r="E11" i="21"/>
  <c r="AP718" i="20"/>
  <c r="AP719" i="20"/>
  <c r="AJ724" i="20" s="1"/>
  <c r="AK816" i="20" s="1"/>
  <c r="T841" i="20" s="1"/>
  <c r="AF841" i="20" s="1"/>
  <c r="BE82" i="3" s="1"/>
  <c r="I4" i="7"/>
  <c r="I5" i="7" s="1"/>
  <c r="AJ1001" i="3"/>
  <c r="E137" i="20"/>
  <c r="E138" i="20" s="1"/>
  <c r="AK142" i="20" s="1"/>
  <c r="AB1000" i="3"/>
  <c r="DU810" i="3"/>
  <c r="U386" i="20" s="1"/>
  <c r="P430" i="3"/>
  <c r="I6" i="7"/>
  <c r="G7" i="7"/>
  <c r="O15" i="7"/>
  <c r="G27" i="21"/>
  <c r="F26" i="21"/>
  <c r="AD11" i="15" l="1"/>
  <c r="AD23" i="15" s="1"/>
  <c r="AD26" i="15" s="1"/>
  <c r="AD28" i="15" s="1"/>
  <c r="AI11" i="15"/>
  <c r="AI23" i="15" s="1"/>
  <c r="AI26" i="15" s="1"/>
  <c r="AI28" i="15" s="1"/>
  <c r="BE72" i="3"/>
  <c r="T829" i="20"/>
  <c r="AF829" i="20" s="1"/>
  <c r="T833" i="20"/>
  <c r="AF833" i="20" s="1"/>
  <c r="BE76" i="3" s="1"/>
  <c r="S58" i="7"/>
  <c r="U53" i="7"/>
  <c r="AJ1054" i="3"/>
  <c r="AJ1058" i="3"/>
  <c r="AP563" i="20"/>
  <c r="K4" i="7"/>
  <c r="M4" i="7" s="1"/>
  <c r="K6" i="7"/>
  <c r="I7" i="7"/>
  <c r="G26" i="21"/>
  <c r="F29" i="21"/>
  <c r="G29" i="21"/>
  <c r="Q15" i="7"/>
  <c r="BE74" i="3" l="1"/>
  <c r="AP566" i="20"/>
  <c r="U58" i="7"/>
  <c r="W53" i="7"/>
  <c r="AJ1062" i="3"/>
  <c r="AP565" i="20"/>
  <c r="K5" i="7"/>
  <c r="O4" i="7"/>
  <c r="M5" i="7"/>
  <c r="M6" i="7"/>
  <c r="K7" i="7"/>
  <c r="S15" i="7"/>
  <c r="G93" i="21"/>
  <c r="G31" i="21"/>
  <c r="G33" i="21" s="1"/>
  <c r="E9" i="21" s="1"/>
  <c r="G102" i="21"/>
  <c r="G104" i="21" s="1"/>
  <c r="E16" i="21" s="1"/>
  <c r="G125" i="21"/>
  <c r="G110" i="21"/>
  <c r="AP567" i="20" l="1"/>
  <c r="G94" i="21"/>
  <c r="E15" i="21" s="1"/>
  <c r="W58" i="7"/>
  <c r="Y53" i="7"/>
  <c r="T24" i="15"/>
  <c r="AP570" i="20"/>
  <c r="AP569" i="20" s="1"/>
  <c r="O5" i="7"/>
  <c r="Q4" i="7"/>
  <c r="M7" i="7"/>
  <c r="O6" i="7"/>
  <c r="G115" i="21"/>
  <c r="G127" i="21"/>
  <c r="G111" i="21"/>
  <c r="U15" i="7"/>
  <c r="AP572" i="20" l="1"/>
  <c r="AF565" i="20" s="1"/>
  <c r="AA53" i="7"/>
  <c r="Y58" i="7"/>
  <c r="G129" i="21"/>
  <c r="E17" i="21" s="1"/>
  <c r="E14" i="21" s="1"/>
  <c r="E18" i="21" s="1"/>
  <c r="S4" i="7"/>
  <c r="Q5" i="7"/>
  <c r="O7" i="7"/>
  <c r="Q6" i="7"/>
  <c r="W15" i="7"/>
  <c r="AC53" i="7" l="1"/>
  <c r="AA58" i="7"/>
  <c r="U4" i="7"/>
  <c r="S5" i="7"/>
  <c r="Q7" i="7"/>
  <c r="S6" i="7"/>
  <c r="Y15" i="7"/>
  <c r="AE53" i="7" l="1"/>
  <c r="AC58" i="7"/>
  <c r="U5" i="7"/>
  <c r="W4" i="7"/>
  <c r="S7" i="7"/>
  <c r="U6" i="7"/>
  <c r="AA15" i="7"/>
  <c r="AG53" i="7" l="1"/>
  <c r="AG58" i="7" s="1"/>
  <c r="AE58" i="7"/>
  <c r="W5" i="7"/>
  <c r="Y4" i="7"/>
  <c r="U7" i="7"/>
  <c r="W6" i="7"/>
  <c r="AC15" i="7"/>
  <c r="AA4" i="7" l="1"/>
  <c r="Y5" i="7"/>
  <c r="Y6" i="7"/>
  <c r="W7" i="7"/>
  <c r="AE15" i="7"/>
  <c r="AA5" i="7" l="1"/>
  <c r="AC4" i="7"/>
  <c r="Y7" i="7"/>
  <c r="AA6" i="7"/>
  <c r="AG15" i="7"/>
  <c r="AC5" i="7" l="1"/>
  <c r="AE4" i="7"/>
  <c r="AC6" i="7"/>
  <c r="AA7" i="7"/>
  <c r="AE5" i="7" l="1"/>
  <c r="AG4" i="7"/>
  <c r="AE6" i="7"/>
  <c r="AC7" i="7"/>
  <c r="AG5" i="7" l="1"/>
  <c r="AE7" i="7"/>
  <c r="AG6" i="7"/>
  <c r="AG7" i="7" l="1"/>
  <c r="BH761" i="3" l="1"/>
  <c r="AC761" i="3" s="1"/>
  <c r="BE42" i="3" l="1"/>
  <c r="E92" i="20"/>
  <c r="E93" i="20" s="1"/>
  <c r="E94" i="20" s="1"/>
  <c r="E102" i="20"/>
  <c r="E105" i="20" s="1"/>
  <c r="AP105" i="20" s="1"/>
  <c r="AK108" i="20" s="1"/>
  <c r="T828" i="20" s="1"/>
  <c r="AF828" i="20" s="1"/>
  <c r="BE73" i="3" l="1"/>
  <c r="H3" i="21"/>
  <c r="BE77" i="3"/>
  <c r="B59" i="11"/>
  <c r="C59" i="11"/>
  <c r="B58" i="13"/>
  <c r="B58" i="4"/>
  <c r="B77" i="11"/>
  <c r="C77" i="11"/>
  <c r="B76" i="13"/>
  <c r="D59" i="11" l="1"/>
  <c r="D77" i="11"/>
  <c r="B76" i="4"/>
  <c r="I108" i="4"/>
  <c r="B49" i="11" l="1"/>
  <c r="C49" i="11"/>
  <c r="B48" i="4"/>
  <c r="K48" i="4" s="1"/>
  <c r="K54" i="4" s="1"/>
  <c r="K63" i="4" s="1"/>
  <c r="B48" i="13"/>
  <c r="E48" i="13"/>
  <c r="L54" i="4" l="1"/>
  <c r="L63" i="4" s="1"/>
  <c r="L97" i="4" s="1"/>
  <c r="E48" i="4"/>
  <c r="R48" i="4" s="1"/>
  <c r="L104" i="4"/>
  <c r="L108" i="4"/>
  <c r="D49" i="11"/>
  <c r="L105" i="4" l="1"/>
  <c r="K108" i="4"/>
  <c r="Z825" i="3" l="1"/>
  <c r="E8" i="7" l="1"/>
  <c r="Z826" i="3"/>
  <c r="G8" i="7" l="1"/>
  <c r="E9" i="7"/>
  <c r="E11" i="7" s="1"/>
  <c r="G9" i="7" l="1"/>
  <c r="G11" i="7" s="1"/>
  <c r="I8" i="7"/>
  <c r="I9" i="7" l="1"/>
  <c r="K8" i="7"/>
  <c r="I11" i="7"/>
  <c r="M8" i="7" l="1"/>
  <c r="K9" i="7"/>
  <c r="K11" i="7"/>
  <c r="M9" i="7" l="1"/>
  <c r="O8" i="7"/>
  <c r="M11" i="7"/>
  <c r="O9" i="7" l="1"/>
  <c r="Q8" i="7"/>
  <c r="O11" i="7"/>
  <c r="S8" i="7" l="1"/>
  <c r="Q9" i="7"/>
  <c r="Q11" i="7"/>
  <c r="U8" i="7" l="1"/>
  <c r="S9" i="7"/>
  <c r="S11" i="7" s="1"/>
  <c r="W8" i="7" l="1"/>
  <c r="U9" i="7"/>
  <c r="U11" i="7" s="1"/>
  <c r="Y8" i="7" l="1"/>
  <c r="W9" i="7"/>
  <c r="W11" i="7" s="1"/>
  <c r="Y9" i="7" l="1"/>
  <c r="AA8" i="7"/>
  <c r="Y11" i="7"/>
  <c r="AA9" i="7" l="1"/>
  <c r="AC8" i="7"/>
  <c r="AA11" i="7"/>
  <c r="AC9" i="7" l="1"/>
  <c r="AC11" i="7" s="1"/>
  <c r="AE8" i="7"/>
  <c r="AE9" i="7" l="1"/>
  <c r="AG8" i="7"/>
  <c r="AE11" i="7"/>
  <c r="AG9" i="7" l="1"/>
  <c r="AG11" i="7"/>
  <c r="E16" i="7" l="1"/>
  <c r="AC892" i="3"/>
  <c r="AC894" i="3" s="1"/>
  <c r="G16" i="7" l="1"/>
  <c r="E22" i="7"/>
  <c r="I16" i="7" l="1"/>
  <c r="G22" i="7"/>
  <c r="K16" i="7" l="1"/>
  <c r="I22" i="7"/>
  <c r="M16" i="7" l="1"/>
  <c r="K22" i="7"/>
  <c r="O16" i="7" l="1"/>
  <c r="M22" i="7"/>
  <c r="Q16" i="7" l="1"/>
  <c r="O22" i="7"/>
  <c r="S16" i="7" l="1"/>
  <c r="Q22" i="7"/>
  <c r="U16" i="7" l="1"/>
  <c r="S22" i="7"/>
  <c r="W16" i="7" l="1"/>
  <c r="U22" i="7"/>
  <c r="Y16" i="7" l="1"/>
  <c r="W22" i="7"/>
  <c r="AA16" i="7" l="1"/>
  <c r="Y22" i="7"/>
  <c r="AC16" i="7" l="1"/>
  <c r="AA22" i="7"/>
  <c r="AE16" i="7" l="1"/>
  <c r="AC22" i="7"/>
  <c r="AG16" i="7" l="1"/>
  <c r="AG22" i="7" s="1"/>
  <c r="AE22" i="7"/>
  <c r="E29" i="7" l="1"/>
  <c r="E40" i="7"/>
  <c r="S40" i="7" s="1"/>
  <c r="W40" i="7"/>
  <c r="AC40" i="7"/>
  <c r="AE40" i="7"/>
  <c r="AG40" i="7"/>
  <c r="E42" i="7"/>
  <c r="AE42" i="7" s="1"/>
  <c r="I42" i="7"/>
  <c r="M42" i="7"/>
  <c r="AC42" i="7"/>
  <c r="BE21" i="3"/>
  <c r="AM574" i="3"/>
  <c r="AO647" i="3"/>
  <c r="AW927" i="3"/>
  <c r="AG927" i="3" s="1"/>
  <c r="N10" i="24"/>
  <c r="B30" i="11"/>
  <c r="C30" i="11"/>
  <c r="B31" i="11"/>
  <c r="C31" i="11"/>
  <c r="D31" i="11" s="1"/>
  <c r="B32" i="11"/>
  <c r="C32" i="11"/>
  <c r="B33" i="11"/>
  <c r="C33" i="11"/>
  <c r="B34" i="11"/>
  <c r="C34" i="11"/>
  <c r="B46" i="11"/>
  <c r="C46" i="11"/>
  <c r="B47" i="11"/>
  <c r="C47" i="11"/>
  <c r="B50" i="11"/>
  <c r="C50" i="11"/>
  <c r="B51" i="11"/>
  <c r="C51" i="11"/>
  <c r="B57" i="11"/>
  <c r="B63" i="11" s="1"/>
  <c r="C57" i="11"/>
  <c r="B76" i="11"/>
  <c r="B78" i="11" s="1"/>
  <c r="C76" i="11"/>
  <c r="B84" i="11"/>
  <c r="C84" i="11"/>
  <c r="D84" i="11" s="1"/>
  <c r="B87" i="11"/>
  <c r="C87" i="11"/>
  <c r="B89" i="11"/>
  <c r="C89" i="11"/>
  <c r="D89" i="11" s="1"/>
  <c r="B100" i="11"/>
  <c r="C100" i="11"/>
  <c r="B103" i="11"/>
  <c r="C103" i="11"/>
  <c r="D103" i="11" s="1"/>
  <c r="B29" i="13"/>
  <c r="B30" i="13"/>
  <c r="E30" i="13"/>
  <c r="B31" i="13"/>
  <c r="B32" i="13"/>
  <c r="B33" i="13"/>
  <c r="B45" i="13"/>
  <c r="E45" i="13"/>
  <c r="B46" i="13"/>
  <c r="E46" i="13"/>
  <c r="B49" i="13"/>
  <c r="E49" i="13"/>
  <c r="B50" i="13"/>
  <c r="E50" i="13"/>
  <c r="B56" i="13"/>
  <c r="B75" i="13"/>
  <c r="B83" i="13"/>
  <c r="B86" i="13"/>
  <c r="E86" i="13"/>
  <c r="B88" i="13"/>
  <c r="B99" i="13"/>
  <c r="B102" i="13"/>
  <c r="E102" i="13"/>
  <c r="B29" i="4"/>
  <c r="E29" i="4"/>
  <c r="R29" i="4" s="1"/>
  <c r="S29" i="4" s="1"/>
  <c r="E29" i="13" s="1"/>
  <c r="B30" i="4"/>
  <c r="E30" i="4"/>
  <c r="R30" i="4" s="1"/>
  <c r="B31" i="4"/>
  <c r="E31" i="4"/>
  <c r="R31" i="4" s="1"/>
  <c r="S31" i="4" s="1"/>
  <c r="E31" i="13" s="1"/>
  <c r="B32" i="4"/>
  <c r="E32" i="4"/>
  <c r="R32" i="4" s="1"/>
  <c r="S32" i="4" s="1"/>
  <c r="E32" i="13" s="1"/>
  <c r="B33" i="4"/>
  <c r="E33" i="4"/>
  <c r="R33" i="4" s="1"/>
  <c r="S33" i="4" s="1"/>
  <c r="E33" i="13" s="1"/>
  <c r="E35" i="4"/>
  <c r="R35" i="4" s="1"/>
  <c r="S35" i="4" s="1"/>
  <c r="E35" i="13" s="1"/>
  <c r="C38" i="4"/>
  <c r="B38" i="13" s="1"/>
  <c r="F38" i="4"/>
  <c r="F63" i="4" s="1"/>
  <c r="F97" i="4" s="1"/>
  <c r="F105" i="4" s="1"/>
  <c r="H38" i="4"/>
  <c r="H63" i="4" s="1"/>
  <c r="H97" i="4" s="1"/>
  <c r="H105" i="4" s="1"/>
  <c r="J38" i="4"/>
  <c r="J63" i="4" s="1"/>
  <c r="B45" i="4"/>
  <c r="E45" i="4"/>
  <c r="R45" i="4" s="1"/>
  <c r="B46" i="4"/>
  <c r="E46" i="4"/>
  <c r="R46" i="4" s="1"/>
  <c r="B49" i="4"/>
  <c r="E49" i="4"/>
  <c r="R49" i="4" s="1"/>
  <c r="B50" i="4"/>
  <c r="E50" i="4"/>
  <c r="R50" i="4" s="1"/>
  <c r="C54" i="4"/>
  <c r="B54" i="13" s="1"/>
  <c r="S54" i="4"/>
  <c r="E54" i="13" s="1"/>
  <c r="B56" i="4"/>
  <c r="E56" i="4"/>
  <c r="E62" i="4" s="1"/>
  <c r="C62" i="4"/>
  <c r="B62" i="4" s="1"/>
  <c r="B75" i="4"/>
  <c r="C77" i="4"/>
  <c r="B77" i="13" s="1"/>
  <c r="B83" i="4"/>
  <c r="E83" i="4"/>
  <c r="B86" i="4"/>
  <c r="N183" i="24" s="1"/>
  <c r="N190" i="24" s="1"/>
  <c r="E86" i="4"/>
  <c r="R86" i="4" s="1"/>
  <c r="B88" i="4"/>
  <c r="E88" i="4"/>
  <c r="R88" i="4" s="1"/>
  <c r="C96" i="4"/>
  <c r="B96" i="13" s="1"/>
  <c r="S96" i="4"/>
  <c r="E96" i="13" s="1"/>
  <c r="B99" i="4"/>
  <c r="B102" i="4"/>
  <c r="E102" i="4"/>
  <c r="R102" i="4" s="1"/>
  <c r="C104" i="4"/>
  <c r="B104" i="13" s="1"/>
  <c r="K104" i="4"/>
  <c r="M104" i="4"/>
  <c r="M105" i="4" s="1"/>
  <c r="E108" i="4"/>
  <c r="F108" i="4"/>
  <c r="H108" i="4"/>
  <c r="J108" i="4"/>
  <c r="M108" i="4"/>
  <c r="D34" i="11" l="1"/>
  <c r="B97" i="11"/>
  <c r="D87" i="11"/>
  <c r="D32" i="11"/>
  <c r="U40" i="7"/>
  <c r="O42" i="7"/>
  <c r="D100" i="11"/>
  <c r="G42" i="7"/>
  <c r="K77" i="4"/>
  <c r="K97" i="4" s="1"/>
  <c r="J75" i="4"/>
  <c r="E75" i="4" s="1"/>
  <c r="D51" i="11"/>
  <c r="K105" i="4"/>
  <c r="D76" i="11"/>
  <c r="C55" i="11"/>
  <c r="E96" i="4"/>
  <c r="B105" i="11"/>
  <c r="D46" i="11"/>
  <c r="C97" i="11"/>
  <c r="D97" i="11" s="1"/>
  <c r="B55" i="11"/>
  <c r="D55" i="11" s="1"/>
  <c r="K42" i="7"/>
  <c r="D33" i="11"/>
  <c r="E54" i="4"/>
  <c r="R83" i="4"/>
  <c r="R96" i="4" s="1"/>
  <c r="C105" i="11"/>
  <c r="R54" i="4"/>
  <c r="D57" i="11"/>
  <c r="B62" i="13"/>
  <c r="C39" i="11"/>
  <c r="B39" i="11"/>
  <c r="D50" i="11"/>
  <c r="R56" i="4"/>
  <c r="R62" i="4" s="1"/>
  <c r="S38" i="4"/>
  <c r="Q29" i="7"/>
  <c r="Q35" i="7" s="1"/>
  <c r="Q37" i="7" s="1"/>
  <c r="S29" i="7"/>
  <c r="S35" i="7" s="1"/>
  <c r="S37" i="7" s="1"/>
  <c r="U29" i="7"/>
  <c r="U35" i="7" s="1"/>
  <c r="U37" i="7" s="1"/>
  <c r="W29" i="7"/>
  <c r="W35" i="7" s="1"/>
  <c r="W37" i="7" s="1"/>
  <c r="Y29" i="7"/>
  <c r="Y35" i="7" s="1"/>
  <c r="Y37" i="7" s="1"/>
  <c r="AA29" i="7"/>
  <c r="AA35" i="7" s="1"/>
  <c r="AA37" i="7" s="1"/>
  <c r="E35" i="7"/>
  <c r="E37" i="7" s="1"/>
  <c r="AG29" i="7"/>
  <c r="AG35" i="7" s="1"/>
  <c r="AG37" i="7" s="1"/>
  <c r="R38" i="4"/>
  <c r="B54" i="4"/>
  <c r="Q42" i="7"/>
  <c r="S42" i="7"/>
  <c r="S43" i="7" s="1"/>
  <c r="U42" i="7"/>
  <c r="U43" i="7" s="1"/>
  <c r="W42" i="7"/>
  <c r="W43" i="7" s="1"/>
  <c r="Y42" i="7"/>
  <c r="AA42" i="7"/>
  <c r="B104" i="4"/>
  <c r="B96" i="4"/>
  <c r="D47" i="11"/>
  <c r="D30" i="11"/>
  <c r="AE43" i="7"/>
  <c r="B77" i="4"/>
  <c r="AC43" i="7"/>
  <c r="E38" i="4"/>
  <c r="B38" i="4"/>
  <c r="M29" i="7"/>
  <c r="M35" i="7" s="1"/>
  <c r="M37" i="7" s="1"/>
  <c r="C63" i="4"/>
  <c r="C63" i="11"/>
  <c r="D63" i="11" s="1"/>
  <c r="K29" i="7"/>
  <c r="K35" i="7" s="1"/>
  <c r="K37" i="7" s="1"/>
  <c r="AB48" i="15"/>
  <c r="AO649" i="3"/>
  <c r="I29" i="7"/>
  <c r="I35" i="7" s="1"/>
  <c r="I37" i="7" s="1"/>
  <c r="AE29" i="7"/>
  <c r="AE35" i="7" s="1"/>
  <c r="AE37" i="7" s="1"/>
  <c r="AC29" i="7"/>
  <c r="AC35" i="7" s="1"/>
  <c r="AC37" i="7" s="1"/>
  <c r="O29" i="7"/>
  <c r="O35" i="7" s="1"/>
  <c r="O37" i="7" s="1"/>
  <c r="AG42" i="7"/>
  <c r="AG43" i="7" s="1"/>
  <c r="G29" i="7"/>
  <c r="G35" i="7" s="1"/>
  <c r="G37" i="7" s="1"/>
  <c r="G40" i="7"/>
  <c r="G43" i="7" s="1"/>
  <c r="I40" i="7"/>
  <c r="I43" i="7" s="1"/>
  <c r="K40" i="7"/>
  <c r="M40" i="7"/>
  <c r="M43" i="7" s="1"/>
  <c r="O40" i="7"/>
  <c r="O43" i="7" s="1"/>
  <c r="Q40" i="7"/>
  <c r="Y40" i="7"/>
  <c r="E43" i="7"/>
  <c r="AA40" i="7"/>
  <c r="C78" i="11"/>
  <c r="D78" i="11" s="1"/>
  <c r="J77" i="4" l="1"/>
  <c r="J97" i="4" s="1"/>
  <c r="J99" i="4"/>
  <c r="D105" i="11"/>
  <c r="B64" i="11"/>
  <c r="B98" i="11" s="1"/>
  <c r="B106" i="11" s="1"/>
  <c r="AA43" i="7"/>
  <c r="D39" i="11"/>
  <c r="Y43" i="7"/>
  <c r="E63" i="4"/>
  <c r="K43" i="7"/>
  <c r="K45" i="7" s="1"/>
  <c r="R63" i="4"/>
  <c r="K49" i="7"/>
  <c r="AG49" i="7"/>
  <c r="AG45" i="7"/>
  <c r="M49" i="7"/>
  <c r="M45" i="7"/>
  <c r="Y49" i="7"/>
  <c r="Y45" i="7"/>
  <c r="AA49" i="7"/>
  <c r="AA45" i="7"/>
  <c r="S45" i="7"/>
  <c r="S49" i="7"/>
  <c r="E38" i="13"/>
  <c r="S63" i="4"/>
  <c r="AC49" i="7"/>
  <c r="AC45" i="7"/>
  <c r="C97" i="4"/>
  <c r="B63" i="13"/>
  <c r="E45" i="7"/>
  <c r="E49" i="7"/>
  <c r="W49" i="7"/>
  <c r="W45" i="7"/>
  <c r="R75" i="4"/>
  <c r="R77" i="4" s="1"/>
  <c r="E77" i="4"/>
  <c r="C64" i="11"/>
  <c r="B63" i="4"/>
  <c r="G45" i="7"/>
  <c r="G49" i="7"/>
  <c r="AE49" i="7"/>
  <c r="AE45" i="7"/>
  <c r="I45" i="7"/>
  <c r="I49" i="7"/>
  <c r="Q43" i="7"/>
  <c r="Q45" i="7" s="1"/>
  <c r="U45" i="7"/>
  <c r="U49" i="7"/>
  <c r="O45" i="7"/>
  <c r="O49" i="7"/>
  <c r="E99" i="4" l="1"/>
  <c r="J104" i="4"/>
  <c r="J105" i="4"/>
  <c r="E97" i="4"/>
  <c r="R97" i="4"/>
  <c r="Q49" i="7"/>
  <c r="G47" i="7"/>
  <c r="G60" i="7"/>
  <c r="G48" i="7"/>
  <c r="Q48" i="7"/>
  <c r="Q47" i="7"/>
  <c r="Q60" i="7"/>
  <c r="U48" i="7"/>
  <c r="U47" i="7"/>
  <c r="U60" i="7"/>
  <c r="AA48" i="7"/>
  <c r="AA47" i="7"/>
  <c r="AA60" i="7"/>
  <c r="S48" i="7"/>
  <c r="S47" i="7"/>
  <c r="S60" i="7"/>
  <c r="M47" i="7"/>
  <c r="M60" i="7"/>
  <c r="M48" i="7"/>
  <c r="B97" i="4"/>
  <c r="B97" i="13"/>
  <c r="C105" i="4"/>
  <c r="Y48" i="7"/>
  <c r="Y47" i="7"/>
  <c r="Y60" i="7"/>
  <c r="AG47" i="7"/>
  <c r="AG60" i="7"/>
  <c r="AG48" i="7"/>
  <c r="W48" i="7"/>
  <c r="W47" i="7"/>
  <c r="W60" i="7"/>
  <c r="O47" i="7"/>
  <c r="O60" i="7"/>
  <c r="O48" i="7"/>
  <c r="E60" i="7"/>
  <c r="E48" i="7"/>
  <c r="E47" i="7"/>
  <c r="AC47" i="7"/>
  <c r="AC60" i="7"/>
  <c r="AC48" i="7"/>
  <c r="S97" i="4"/>
  <c r="E63" i="13"/>
  <c r="I47" i="7"/>
  <c r="I60" i="7"/>
  <c r="I48" i="7"/>
  <c r="AE47" i="7"/>
  <c r="AE60" i="7"/>
  <c r="AE48" i="7"/>
  <c r="C98" i="11"/>
  <c r="D64" i="11"/>
  <c r="K47" i="7"/>
  <c r="K60" i="7"/>
  <c r="K48" i="7"/>
  <c r="R99" i="4" l="1"/>
  <c r="E104" i="4"/>
  <c r="E105" i="4" s="1"/>
  <c r="M62" i="7"/>
  <c r="M66" i="7"/>
  <c r="M70" i="7" s="1"/>
  <c r="AA66" i="7"/>
  <c r="AA70" i="7" s="1"/>
  <c r="AA62" i="7"/>
  <c r="K62" i="7"/>
  <c r="K66" i="7"/>
  <c r="K70" i="7" s="1"/>
  <c r="AE66" i="7"/>
  <c r="AE70" i="7" s="1"/>
  <c r="AE62" i="7"/>
  <c r="AZ1055" i="3"/>
  <c r="E97" i="13"/>
  <c r="AC66" i="7"/>
  <c r="AC70" i="7" s="1"/>
  <c r="AC62" i="7"/>
  <c r="Q66" i="7"/>
  <c r="Q70" i="7" s="1"/>
  <c r="Q62" i="7"/>
  <c r="I62" i="7"/>
  <c r="I66" i="7"/>
  <c r="I70" i="7" s="1"/>
  <c r="S66" i="7"/>
  <c r="S70" i="7" s="1"/>
  <c r="S62" i="7"/>
  <c r="S72" i="7" s="1"/>
  <c r="W66" i="7"/>
  <c r="W70" i="7" s="1"/>
  <c r="W62" i="7"/>
  <c r="U66" i="7"/>
  <c r="U70" i="7" s="1"/>
  <c r="U62" i="7"/>
  <c r="U72" i="7" s="1"/>
  <c r="AG66" i="7"/>
  <c r="AG70" i="7" s="1"/>
  <c r="AG62" i="7"/>
  <c r="Y66" i="7"/>
  <c r="Y70" i="7" s="1"/>
  <c r="Y62" i="7"/>
  <c r="G62" i="7"/>
  <c r="G66" i="7"/>
  <c r="G70" i="7" s="1"/>
  <c r="E66" i="7"/>
  <c r="E70" i="7" s="1"/>
  <c r="E62" i="7"/>
  <c r="E72" i="7" s="1"/>
  <c r="O62" i="7"/>
  <c r="O66" i="7"/>
  <c r="O70" i="7" s="1"/>
  <c r="O72" i="7" s="1"/>
  <c r="C106" i="11"/>
  <c r="D106" i="11" s="1"/>
  <c r="D98" i="11"/>
  <c r="BE101" i="3"/>
  <c r="AG268" i="20"/>
  <c r="AC464" i="3"/>
  <c r="B105" i="13"/>
  <c r="B105" i="4"/>
  <c r="S99" i="4" l="1"/>
  <c r="R104" i="4"/>
  <c r="R105" i="4" s="1"/>
  <c r="I72" i="7"/>
  <c r="AG72" i="7"/>
  <c r="AA72" i="7"/>
  <c r="Q72" i="7"/>
  <c r="AC72" i="7"/>
  <c r="W72" i="7"/>
  <c r="AE72" i="7"/>
  <c r="G72" i="7"/>
  <c r="Y72" i="7"/>
  <c r="K72" i="7"/>
  <c r="M72" i="7"/>
  <c r="N180" i="24"/>
  <c r="BE22" i="3"/>
  <c r="AB47" i="15"/>
  <c r="AB49" i="15" s="1"/>
  <c r="AB265" i="20"/>
  <c r="AG267" i="20" s="1"/>
  <c r="AG269" i="20" s="1"/>
  <c r="AK272" i="20" s="1"/>
  <c r="T834" i="20" s="1"/>
  <c r="AC463" i="3"/>
  <c r="BE44" i="3" s="1"/>
  <c r="AZ1060" i="3"/>
  <c r="BA1065" i="3"/>
  <c r="E99" i="13" l="1"/>
  <c r="S104" i="4"/>
  <c r="BA1064" i="3"/>
  <c r="AB54" i="15"/>
  <c r="AB55" i="15" s="1"/>
  <c r="N181" i="24"/>
  <c r="N191" i="24"/>
  <c r="E104" i="13" l="1"/>
  <c r="BA1067" i="3"/>
  <c r="BA1068" i="3" s="1"/>
  <c r="S105" i="4"/>
  <c r="I9" i="21" l="1"/>
  <c r="S107" i="4"/>
  <c r="E105" i="13"/>
  <c r="AF564" i="20" l="1"/>
  <c r="AF566" i="20" s="1"/>
  <c r="AK572" i="20" s="1"/>
  <c r="T840" i="20" s="1"/>
  <c r="AF840" i="20" s="1"/>
  <c r="AC465" i="3"/>
  <c r="AA1065" i="3"/>
  <c r="AA1066" i="3" s="1"/>
  <c r="G1067" i="3" s="1"/>
  <c r="E107" i="13"/>
  <c r="G166" i="21"/>
  <c r="G165" i="21"/>
  <c r="Y11" i="15" l="1"/>
  <c r="Y23" i="15" s="1"/>
  <c r="Y26" i="15" s="1"/>
  <c r="Y28" i="15" s="1"/>
  <c r="T11" i="15"/>
  <c r="T23" i="15" s="1"/>
  <c r="AF843" i="20"/>
  <c r="BE70" i="3" s="1"/>
  <c r="BE81" i="3"/>
  <c r="T26" i="15" l="1"/>
  <c r="T28" i="15" s="1"/>
  <c r="T29" i="15" s="1"/>
  <c r="AD38" i="15"/>
  <c r="AD40" i="15" s="1"/>
  <c r="Y64" i="15"/>
  <c r="Y68" i="15" s="1"/>
  <c r="Y69" i="15" s="1"/>
  <c r="Y38" i="15"/>
  <c r="Y40" i="15" s="1"/>
  <c r="Y41" i="15" s="1"/>
  <c r="AB56" i="15" s="1"/>
  <c r="M26" i="3" l="1"/>
  <c r="AB57" i="15"/>
  <c r="AB59" i="15" s="1"/>
  <c r="AB77" i="15" s="1"/>
  <c r="AB78" i="15" s="1"/>
  <c r="AB79" i="15" l="1"/>
  <c r="AB81" i="15" s="1"/>
  <c r="J82" i="15" s="1"/>
  <c r="M27" i="3"/>
  <c r="I10" i="21"/>
  <c r="I11" i="21" s="1"/>
  <c r="I18" i="21" s="1"/>
  <c r="H4" i="21" s="1"/>
  <c r="H5" i="21" s="1"/>
  <c r="BE83" i="3" s="1"/>
  <c r="P204" i="3"/>
  <c r="BE19"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47894033-06A7-4DA9-8250-5807BCA48B33}">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<sst xmlns="http://schemas.openxmlformats.org/spreadsheetml/2006/main" count="5086" uniqueCount="2771">
  <si>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</si>
  <si>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</si>
  <si>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</si>
  <si>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</si>
  <si>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</si>
  <si>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</si>
  <si>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</si>
  <si>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</si>
  <si>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</si>
  <si>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</si>
  <si>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</si>
  <si>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</si>
  <si>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</si>
  <si>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</si>
  <si>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</si>
  <si>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</si>
  <si>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</si>
  <si>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</si>
  <si>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</si>
  <si>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</si>
  <si>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</si>
  <si>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</si>
  <si>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</si>
  <si>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</si>
  <si>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</si>
  <si>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</si>
  <si>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</si>
  <si>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</si>
  <si>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</si>
  <si>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</si>
  <si>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</si>
  <si>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</si>
  <si>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</si>
  <si>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</si>
  <si>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</si>
  <si>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</si>
  <si>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</si>
  <si>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</si>
  <si>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</si>
  <si>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</si>
  <si>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</si>
  <si>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</si>
  <si>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</si>
  <si>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</si>
  <si>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</si>
  <si>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</si>
  <si>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</si>
  <si>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</si>
  <si>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</si>
  <si>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</si>
  <si>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</si>
  <si>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</si>
  <si>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</si>
  <si>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</si>
  <si>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</si>
  <si>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</si>
  <si>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</si>
  <si>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</si>
  <si>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</si>
  <si>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</si>
  <si>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</si>
  <si>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</si>
  <si>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</si>
  <si>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</si>
  <si>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</si>
  <si>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</si>
  <si>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</si>
  <si>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</si>
  <si>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</si>
  <si>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</si>
  <si>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</si>
  <si>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</si>
  <si>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</si>
  <si>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</si>
  <si>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</si>
  <si>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</si>
  <si>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</si>
  <si>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</si>
  <si>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</si>
  <si>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</si>
  <si>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</si>
  <si>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</si>
  <si>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</si>
  <si>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</si>
  <si>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</si>
  <si>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</si>
  <si>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</si>
  <si>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</si>
  <si>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</si>
  <si>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</si>
  <si>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</si>
  <si>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</si>
  <si>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</si>
  <si>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</si>
  <si>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</si>
  <si>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</si>
  <si>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</si>
  <si>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</si>
  <si>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</si>
  <si>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</si>
  <si>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</si>
  <si>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</si>
  <si>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</si>
  <si>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</si>
  <si>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</si>
  <si>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</si>
  <si>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</si>
  <si>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</si>
  <si>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</si>
  <si>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</si>
  <si>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</si>
  <si>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</si>
  <si>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</si>
  <si>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</si>
  <si>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</si>
  <si>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</si>
  <si>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</si>
  <si>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</si>
  <si>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</si>
  <si>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</si>
  <si>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</si>
  <si>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</si>
  <si>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</si>
  <si>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</si>
  <si>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</si>
  <si>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</si>
  <si>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</si>
  <si>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</si>
  <si>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</si>
  <si>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</si>
  <si>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</si>
  <si>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</si>
  <si>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</si>
  <si>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</si>
  <si>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</si>
  <si>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</si>
  <si>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</si>
  <si>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</si>
  <si>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</si>
  <si>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</si>
  <si>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</si>
  <si>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</si>
  <si>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</si>
  <si>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</si>
  <si>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</si>
  <si>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</si>
  <si>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</si>
  <si>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</si>
  <si>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</si>
  <si>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</si>
  <si>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</si>
  <si>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</si>
  <si>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</si>
  <si>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</si>
  <si>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</si>
  <si>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</si>
  <si>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</si>
  <si>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</si>
  <si>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</si>
  <si>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</si>
  <si>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</si>
  <si>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</si>
  <si>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</si>
  <si>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</si>
  <si>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</si>
  <si>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</si>
  <si>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</si>
  <si>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</si>
  <si>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</si>
  <si>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</si>
  <si>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</si>
  <si>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</si>
  <si>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</si>
  <si>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</si>
  <si>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</si>
  <si>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</si>
  <si>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</si>
  <si>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</si>
  <si>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</si>
  <si>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</si>
  <si>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</si>
  <si>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</si>
  <si>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</si>
  <si>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</si>
  <si>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</si>
  <si>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</si>
  <si>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</si>
  <si>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</si>
  <si>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</si>
  <si>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</si>
  <si>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</si>
  <si>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</si>
  <si>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</si>
  <si>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</si>
  <si>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</si>
  <si>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</si>
  <si>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</si>
  <si>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</si>
  <si>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</si>
  <si>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</si>
  <si>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</si>
  <si>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</si>
  <si>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</si>
  <si>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</si>
  <si>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</si>
  <si>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</si>
  <si>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</si>
  <si>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</si>
  <si>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</si>
  <si>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</si>
  <si>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</si>
  <si>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</si>
  <si>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</si>
  <si>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</si>
  <si>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</si>
  <si>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</si>
  <si>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</si>
  <si>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</si>
  <si>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</si>
  <si>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</si>
  <si>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</si>
  <si>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</si>
  <si>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</si>
  <si>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</si>
  <si>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</si>
  <si>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</si>
  <si>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</si>
  <si>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</si>
  <si>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</si>
  <si>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</si>
  <si>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</si>
  <si>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</si>
  <si>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</si>
  <si>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</si>
  <si>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</si>
  <si>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</si>
  <si>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</si>
  <si>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</si>
  <si>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</si>
  <si>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</si>
  <si>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</si>
  <si>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</si>
  <si>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</si>
  <si>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</si>
  <si>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</si>
  <si>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</si>
  <si>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</si>
  <si>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</si>
  <si>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</si>
  <si>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</si>
  <si>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</si>
  <si>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</si>
  <si>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</si>
  <si>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</si>
  <si>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</si>
  <si>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</si>
  <si>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</si>
  <si>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</si>
  <si>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</si>
  <si>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</si>
  <si>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</si>
  <si>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</si>
  <si>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</si>
  <si>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</si>
  <si>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</si>
  <si>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</si>
  <si>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</si>
  <si>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</si>
  <si>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</si>
  <si>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</si>
  <si>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</si>
  <si>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</si>
  <si>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</si>
  <si>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</si>
  <si>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</si>
  <si>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</si>
  <si>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</si>
  <si>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</si>
  <si>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</si>
  <si>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</si>
  <si>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</si>
  <si>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</si>
  <si>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</si>
  <si>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</si>
  <si>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</si>
  <si>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</si>
  <si>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</si>
  <si>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</si>
  <si>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</si>
  <si>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</si>
  <si>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</si>
  <si>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</si>
  <si>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</si>
  <si>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</si>
  <si>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</si>
  <si>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</si>
  <si>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</si>
  <si>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</si>
  <si>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</si>
  <si>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</si>
  <si>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</si>
  <si>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</si>
  <si>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</si>
  <si>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</si>
  <si>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</si>
  <si>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</si>
  <si>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</si>
  <si>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</si>
  <si>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</si>
  <si>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</si>
  <si>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</si>
  <si>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</si>
  <si>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</si>
  <si>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</si>
  <si>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</si>
  <si>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</si>
  <si>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</si>
  <si>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</si>
  <si>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</si>
  <si>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</si>
  <si>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</si>
  <si>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</si>
  <si>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</si>
  <si>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</si>
  <si>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</si>
  <si>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</si>
  <si>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</si>
  <si>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</si>
  <si>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</si>
  <si>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</si>
  <si>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</si>
  <si>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</si>
  <si>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</si>
  <si>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</si>
  <si>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</si>
  <si>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</si>
  <si>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</si>
  <si>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</si>
  <si>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</si>
  <si>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</si>
  <si>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</si>
  <si>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</si>
  <si>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</si>
  <si>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</si>
  <si>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</si>
  <si>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</si>
  <si>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</si>
  <si>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</si>
  <si>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</si>
  <si>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</si>
  <si>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</si>
  <si>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</si>
  <si>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</si>
  <si>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</si>
  <si>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</si>
  <si>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</si>
  <si>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</si>
  <si>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</si>
  <si>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</si>
  <si>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</si>
  <si>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</si>
  <si>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</si>
  <si>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</si>
  <si>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</si>
  <si>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</si>
  <si>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</si>
  <si>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</si>
  <si>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</si>
  <si>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</si>
  <si>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</si>
  <si>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</si>
  <si>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</si>
  <si>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</si>
  <si>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</si>
  <si>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</si>
  <si>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</si>
  <si>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</si>
  <si>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</si>
  <si>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</si>
  <si>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</si>
  <si>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</si>
  <si>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</si>
  <si>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</si>
  <si>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</si>
  <si>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</si>
  <si>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</si>
  <si>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</si>
  <si>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</si>
  <si>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</si>
  <si>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</si>
  <si>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</si>
  <si>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</si>
  <si>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</si>
  <si>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</si>
  <si>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</si>
  <si>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</si>
  <si>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</si>
  <si>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</si>
  <si>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</si>
  <si>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</si>
  <si>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</si>
  <si>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</si>
  <si>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</si>
  <si>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</si>
  <si>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</si>
  <si>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</si>
  <si>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</si>
  <si>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</si>
  <si>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</si>
  <si>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</si>
  <si>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</si>
  <si>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</si>
  <si>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</si>
  <si>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</si>
  <si>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</si>
  <si>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</si>
  <si>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</si>
  <si>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</si>
  <si>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</si>
  <si>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</si>
  <si>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</si>
  <si>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</si>
  <si>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</si>
  <si>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</si>
  <si>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</si>
  <si>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</si>
  <si>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</si>
  <si>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</si>
  <si>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</si>
  <si>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</si>
  <si>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</si>
  <si>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</si>
  <si>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</si>
  <si>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</si>
  <si>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</si>
  <si>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</si>
  <si>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</si>
  <si>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</si>
  <si>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</si>
  <si>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</si>
  <si>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</si>
  <si>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</si>
  <si>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</si>
  <si>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</si>
  <si>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</si>
  <si>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</si>
  <si>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</si>
  <si>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</si>
  <si>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</si>
  <si>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</si>
  <si>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</si>
  <si>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</si>
  <si>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</si>
  <si>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</si>
  <si>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</si>
  <si>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</si>
  <si>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</si>
  <si>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</si>
  <si>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</si>
  <si>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</si>
  <si>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</si>
  <si>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</si>
  <si>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</si>
  <si>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</si>
  <si>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</si>
  <si>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</si>
  <si>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</si>
  <si>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</si>
  <si>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</si>
  <si>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</si>
  <si>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</si>
  <si>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</si>
  <si>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</si>
  <si>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</si>
  <si>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</si>
  <si>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</si>
  <si>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</si>
  <si>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</si>
  <si>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</si>
  <si>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</si>
  <si>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</si>
  <si>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</si>
  <si>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</si>
  <si>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</si>
  <si>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</si>
  <si>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</si>
  <si>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</si>
  <si>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</si>
  <si>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</si>
  <si>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</si>
  <si>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</si>
  <si>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</si>
  <si>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</si>
  <si>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</si>
  <si>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</si>
  <si>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</si>
  <si>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</si>
  <si>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</si>
  <si>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</si>
  <si>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</si>
  <si>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</si>
  <si>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</si>
  <si>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</si>
  <si>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</si>
  <si>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</si>
  <si>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</si>
  <si>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</si>
  <si>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</si>
  <si>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</si>
  <si>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</si>
  <si>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</si>
  <si>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</si>
  <si>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</si>
  <si>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</si>
  <si>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</si>
  <si>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</si>
  <si>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</si>
  <si>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</si>
  <si>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</si>
  <si>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</si>
  <si>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</si>
  <si>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</si>
  <si>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</si>
  <si>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</si>
  <si>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</si>
  <si>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</si>
  <si>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</si>
  <si>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</si>
  <si>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</si>
  <si>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</si>
  <si>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</si>
  <si>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</si>
  <si>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</si>
  <si>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</si>
  <si>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</si>
  <si>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</si>
  <si>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</si>
  <si>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</si>
  <si>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</si>
  <si>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</si>
  <si>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</si>
  <si>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</si>
  <si>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</si>
  <si>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</si>
  <si>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</si>
  <si>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</si>
  <si>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</si>
  <si>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</si>
  <si>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</si>
  <si>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</si>
  <si>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</si>
  <si>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</si>
  <si>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</si>
  <si>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</si>
  <si>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</si>
  <si>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</si>
  <si>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</si>
  <si>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</si>
  <si>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</si>
  <si>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</si>
  <si>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</si>
  <si>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</si>
  <si>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</si>
  <si>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</si>
  <si>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</si>
  <si>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</si>
  <si>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</si>
  <si>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</si>
  <si>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</si>
  <si>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</si>
  <si>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</si>
  <si>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</si>
  <si>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</si>
  <si>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</si>
  <si>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</si>
  <si>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</si>
  <si>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</si>
  <si>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</si>
  <si>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</si>
  <si>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</si>
  <si>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</si>
  <si>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</si>
  <si>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</si>
  <si>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</si>
  <si>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</si>
  <si>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</si>
  <si>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</si>
  <si>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</si>
  <si>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</si>
  <si>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</si>
  <si>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</si>
  <si>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</si>
  <si>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</si>
  <si>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</si>
  <si>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</si>
  <si>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</si>
  <si>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</si>
  <si>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</si>
  <si>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</si>
  <si>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</si>
  <si>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</si>
  <si>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</si>
  <si>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</si>
  <si>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</si>
  <si>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</si>
  <si>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</si>
  <si>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</si>
  <si>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</si>
  <si>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</si>
  <si>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</si>
  <si>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</si>
  <si>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</si>
  <si>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</si>
  <si>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</si>
  <si>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</si>
  <si>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</si>
  <si>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</si>
  <si>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</si>
  <si>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</si>
  <si>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</si>
  <si>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</si>
  <si>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</si>
  <si>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</si>
  <si>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</si>
  <si>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</si>
  <si>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</si>
  <si>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</si>
  <si>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</si>
  <si>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</si>
  <si>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</si>
  <si>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</si>
  <si>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</si>
  <si>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</si>
  <si>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</si>
  <si>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</si>
  <si>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</si>
  <si>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</si>
  <si>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</si>
  <si>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</si>
  <si>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</si>
  <si>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</si>
  <si>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</si>
  <si>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</si>
  <si>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</si>
  <si>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</si>
  <si>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</si>
  <si>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</si>
  <si>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</si>
  <si>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</si>
  <si>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</si>
  <si>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</si>
  <si>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</si>
  <si>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</si>
  <si>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</si>
  <si>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</si>
  <si>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</si>
  <si>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</si>
  <si>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</si>
  <si>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</si>
  <si>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</si>
  <si>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</si>
  <si>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</si>
  <si>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</si>
  <si>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</si>
  <si>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</si>
  <si>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</si>
  <si>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</si>
  <si>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</si>
  <si>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</si>
  <si>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</si>
  <si>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</si>
  <si>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</si>
  <si>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</si>
  <si>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</si>
  <si>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</si>
  <si>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</si>
  <si>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</si>
  <si>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</si>
  <si>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</si>
  <si>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</si>
  <si>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</si>
  <si>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</si>
  <si>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</si>
  <si>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</si>
  <si>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</si>
  <si>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</si>
  <si>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</si>
  <si>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</si>
  <si>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</si>
  <si>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</si>
  <si>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</si>
  <si>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</si>
  <si>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</si>
  <si>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</si>
  <si>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</si>
  <si>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</si>
  <si>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</si>
  <si>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</si>
  <si>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</si>
  <si>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</si>
  <si>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</si>
  <si>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</si>
  <si>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</si>
  <si>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</si>
  <si>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</si>
  <si>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</si>
  <si>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</si>
  <si>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</si>
  <si>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</si>
  <si>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</si>
  <si>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</si>
  <si>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</si>
  <si>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</si>
  <si>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</si>
  <si>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</si>
  <si>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</si>
  <si>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</si>
  <si>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</si>
  <si>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</si>
  <si>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</si>
  <si>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</si>
  <si>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</si>
  <si>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</si>
  <si>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</si>
  <si>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</si>
  <si>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</si>
  <si>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</si>
  <si>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</si>
  <si>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</si>
  <si>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</si>
  <si>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</si>
  <si>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</si>
  <si>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</si>
  <si>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</si>
  <si>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</si>
  <si>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</si>
  <si>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</si>
  <si>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</si>
  <si>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</si>
  <si>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</si>
  <si>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</si>
  <si>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</si>
  <si>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</si>
  <si>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</si>
  <si>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</si>
  <si>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</si>
  <si>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</si>
  <si>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</si>
  <si>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</si>
  <si>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</si>
  <si>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</si>
  <si>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</si>
  <si>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</si>
  <si>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</si>
  <si>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</si>
  <si>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</si>
  <si>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</si>
  <si>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</si>
  <si>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</si>
  <si>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</si>
  <si>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</si>
  <si>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</si>
  <si>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</si>
  <si>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</si>
  <si>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</si>
  <si>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</si>
  <si>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</si>
  <si>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</si>
  <si>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</si>
  <si>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</si>
  <si>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</si>
  <si>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</si>
  <si>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</si>
  <si>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</si>
  <si>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</si>
  <si>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</si>
  <si>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</si>
  <si>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</si>
  <si>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</si>
  <si>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</si>
  <si>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</si>
  <si>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</si>
  <si>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</si>
  <si>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</si>
  <si>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</si>
  <si>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</si>
  <si>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</si>
  <si>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</si>
  <si>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</si>
  <si>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</si>
  <si>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</si>
  <si>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</si>
  <si>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</si>
  <si>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</si>
  <si>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</si>
  <si>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</si>
  <si>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</si>
  <si>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</si>
  <si>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</si>
  <si>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</si>
  <si>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</si>
  <si>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</si>
  <si>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</si>
  <si>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</si>
  <si>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</si>
  <si>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</si>
  <si>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</si>
  <si>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</si>
  <si>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</si>
  <si>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</si>
  <si>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</si>
  <si>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</si>
  <si>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</si>
  <si>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</si>
  <si>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</si>
  <si>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</si>
  <si>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</si>
  <si>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</si>
  <si>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</si>
  <si>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</si>
  <si>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</si>
  <si>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</si>
  <si>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</si>
  <si>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</si>
  <si>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</si>
  <si>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</si>
  <si>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</si>
  <si>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</si>
  <si>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</si>
  <si>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</si>
  <si>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</si>
  <si>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</si>
  <si>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</si>
  <si>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</si>
  <si>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</si>
  <si>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</si>
  <si>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</si>
  <si>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</si>
  <si>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</si>
  <si>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</si>
  <si>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</si>
  <si>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</si>
  <si>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</si>
  <si>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</si>
  <si>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</si>
  <si>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</si>
  <si>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</si>
  <si>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</si>
  <si>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</si>
  <si>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</si>
  <si>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</si>
  <si>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</si>
  <si>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</si>
  <si>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</si>
  <si>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</si>
  <si>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</si>
  <si>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</si>
  <si>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</si>
  <si>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</si>
  <si>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</si>
  <si>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</si>
  <si>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</si>
  <si>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</si>
  <si>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</si>
  <si>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</si>
  <si>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</si>
  <si>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</si>
  <si>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</si>
  <si>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</si>
  <si>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</si>
  <si>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</si>
  <si>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</si>
  <si>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</si>
  <si>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</si>
  <si>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</si>
  <si>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</si>
  <si>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</si>
  <si>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</si>
  <si>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</si>
  <si>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</si>
  <si>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</si>
  <si>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</si>
  <si>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</si>
  <si>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</si>
  <si>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</si>
  <si>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</si>
  <si>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</si>
  <si>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</si>
  <si>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</si>
  <si>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</si>
  <si>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</si>
  <si>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</si>
  <si>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</si>
  <si>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</si>
  <si>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</si>
  <si>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</si>
  <si>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</si>
  <si>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</si>
  <si>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</si>
  <si>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</si>
  <si>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</si>
  <si>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</si>
  <si>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</si>
  <si>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</si>
  <si>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</si>
  <si>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</si>
  <si>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</si>
  <si>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</si>
  <si>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</si>
  <si>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</si>
  <si>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</si>
  <si>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</si>
  <si>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</si>
  <si>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</si>
  <si>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</si>
  <si>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</si>
  <si>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</si>
  <si>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</si>
  <si>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</si>
  <si>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</si>
  <si>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</si>
  <si>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</si>
  <si>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</si>
  <si>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</si>
  <si>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</si>
  <si>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</si>
  <si>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</si>
  <si>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</si>
  <si>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</si>
  <si>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</si>
  <si>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</si>
  <si>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</si>
  <si>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</si>
  <si>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</si>
  <si>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</si>
  <si>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</si>
  <si>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</si>
  <si>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</si>
  <si>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</si>
  <si>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</si>
  <si>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</si>
  <si>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</si>
  <si>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</si>
  <si>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</si>
  <si>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</si>
  <si>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</si>
  <si>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</si>
  <si>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</si>
  <si>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</si>
  <si>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</si>
  <si>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</si>
  <si>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</si>
  <si>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</si>
  <si>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</si>
  <si>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</si>
  <si>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</si>
  <si>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</si>
  <si>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</si>
  <si>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</si>
  <si>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</si>
  <si>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</si>
  <si>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</si>
  <si>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</si>
  <si>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</si>
  <si>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</si>
  <si>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</si>
  <si>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</si>
  <si>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</si>
  <si>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</si>
  <si>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</si>
  <si>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</si>
  <si>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</si>
  <si>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</si>
  <si>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</si>
  <si>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</si>
  <si>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</si>
  <si>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</si>
  <si>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</si>
  <si>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</si>
  <si>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</si>
  <si>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</si>
  <si>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</si>
  <si>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</si>
  <si>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</si>
  <si>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</si>
  <si>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</si>
  <si>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</si>
  <si>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</si>
  <si>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</si>
  <si>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</si>
  <si>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</si>
  <si>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</si>
  <si>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</si>
  <si>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</si>
  <si>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</si>
  <si>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</si>
  <si>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</si>
  <si>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</si>
  <si>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</si>
  <si>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</si>
  <si>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</si>
  <si>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</si>
  <si>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</si>
  <si>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</si>
  <si>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</si>
  <si>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</si>
  <si>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</si>
  <si>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</si>
  <si>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</si>
  <si>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</si>
  <si>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</si>
  <si>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</si>
  <si>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</si>
  <si>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</si>
  <si>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</si>
  <si>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</si>
  <si>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</si>
  <si>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</si>
  <si>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</si>
  <si>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</si>
  <si>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</si>
  <si>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</si>
  <si>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</si>
  <si>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</si>
  <si>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</si>
  <si>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</si>
  <si>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</si>
  <si>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</si>
  <si>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</si>
  <si>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</si>
  <si>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</si>
  <si>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</si>
  <si>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</si>
  <si>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</si>
  <si>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</si>
  <si>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</si>
  <si>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</si>
  <si>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</si>
  <si>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</si>
  <si>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</si>
  <si>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</si>
  <si>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</si>
  <si>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</si>
  <si>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</si>
  <si>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</si>
  <si>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</si>
  <si>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</si>
  <si>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</si>
  <si>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</si>
  <si>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</si>
  <si>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</si>
  <si>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</si>
  <si>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</si>
  <si>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</si>
  <si>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</si>
  <si>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</si>
  <si>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</si>
  <si>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</si>
  <si>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</si>
  <si>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</si>
  <si>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</si>
  <si>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</si>
  <si>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</si>
  <si>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</si>
  <si>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</si>
  <si>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</si>
  <si>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</si>
  <si>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</si>
  <si>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</si>
  <si>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</si>
  <si>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</si>
  <si>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</si>
  <si>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</si>
  <si>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</si>
  <si>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</si>
  <si>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</si>
  <si>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</si>
  <si>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</si>
  <si>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</si>
  <si>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</si>
  <si>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</si>
  <si>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</si>
  <si>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</si>
  <si>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</si>
  <si>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</si>
  <si>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</si>
  <si>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</si>
  <si>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</si>
  <si>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</si>
  <si>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</si>
  <si>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</si>
  <si>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</si>
  <si>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</si>
  <si>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</si>
  <si>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</si>
  <si>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</si>
  <si>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</si>
  <si>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</si>
  <si>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</si>
  <si>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</si>
  <si>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</si>
  <si>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</si>
  <si>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</si>
  <si>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</si>
  <si>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</si>
  <si>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</si>
  <si>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</si>
  <si>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</si>
  <si>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</si>
  <si>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</si>
  <si>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</si>
  <si>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</si>
  <si>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</si>
  <si>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</si>
  <si>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</si>
  <si>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</si>
  <si>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</si>
  <si>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</si>
  <si>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</si>
  <si>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</si>
  <si>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</si>
  <si>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</si>
  <si>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</si>
  <si>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</si>
  <si>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</si>
  <si>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</si>
  <si>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</si>
  <si>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</si>
  <si>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</si>
  <si>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</si>
  <si>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</si>
  <si>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</si>
  <si>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</si>
  <si>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</si>
  <si>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</si>
  <si>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</si>
  <si>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</si>
  <si>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</si>
  <si>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</si>
  <si>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</si>
  <si>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</si>
  <si>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</si>
  <si>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</si>
  <si>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</si>
  <si>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</si>
  <si>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</si>
  <si>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</si>
  <si>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</si>
  <si>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</si>
  <si>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</si>
  <si>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</si>
  <si>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</si>
  <si>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</si>
  <si>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</si>
  <si>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</si>
  <si>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</si>
  <si>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</si>
  <si>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</si>
  <si>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</si>
  <si>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</si>
  <si>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</si>
  <si>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</si>
  <si>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</si>
  <si>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</si>
  <si>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</si>
  <si>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</si>
  <si>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</si>
  <si>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</si>
  <si>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</si>
  <si>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</si>
  <si>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</si>
  <si>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</si>
  <si>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</si>
  <si>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</si>
  <si>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</si>
  <si>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</si>
  <si>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</si>
  <si>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</si>
  <si>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</si>
  <si>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</si>
  <si>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</si>
  <si>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</si>
  <si>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</si>
  <si>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</si>
  <si>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</si>
  <si>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</si>
  <si>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</si>
  <si>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</si>
  <si>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</si>
  <si>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</si>
  <si>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</si>
  <si>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</si>
  <si>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</si>
  <si>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</si>
  <si>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</si>
  <si>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</si>
  <si>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</si>
  <si>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</si>
  <si>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</si>
  <si>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</si>
  <si>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</si>
  <si>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</si>
  <si>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</si>
  <si>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</si>
  <si>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</si>
  <si>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</si>
  <si>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</si>
  <si>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</si>
  <si>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</si>
  <si>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</si>
  <si>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</si>
  <si>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</si>
  <si>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</si>
  <si>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</si>
  <si>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</si>
  <si>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</si>
  <si>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</si>
  <si>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</si>
  <si>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</si>
  <si>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</si>
  <si>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</si>
  <si>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</si>
  <si>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</si>
  <si>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</si>
  <si>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</si>
  <si>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</si>
  <si>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</si>
  <si>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</si>
  <si>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</si>
  <si>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</si>
  <si>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</si>
  <si>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</si>
  <si>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</si>
  <si>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</si>
  <si>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</si>
  <si>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</si>
  <si>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</si>
  <si>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</si>
  <si>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</si>
  <si>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</si>
  <si>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</si>
  <si>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</si>
  <si>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</si>
  <si>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</si>
  <si>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</si>
  <si>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</si>
  <si>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</si>
  <si>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</si>
  <si>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</si>
  <si>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</si>
  <si>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</si>
  <si>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</si>
  <si>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</si>
  <si>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</si>
  <si>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</si>
  <si>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</si>
  <si>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</si>
  <si>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</si>
  <si>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</si>
  <si>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</si>
  <si>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</si>
  <si>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</si>
  <si>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</si>
  <si>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</si>
  <si>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</si>
  <si>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</si>
  <si>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</si>
  <si>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</si>
  <si>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</si>
  <si>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</si>
  <si>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</si>
  <si>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</si>
  <si>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</si>
  <si>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</si>
  <si>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</si>
  <si>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</si>
  <si>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</si>
  <si>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</si>
  <si>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</si>
  <si>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</si>
  <si>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</si>
  <si>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</si>
  <si>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</si>
  <si>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</si>
  <si>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</si>
  <si>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</si>
  <si>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</si>
  <si>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</si>
  <si>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</si>
  <si>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</si>
  <si>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</si>
  <si>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</si>
  <si>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</si>
  <si>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</si>
  <si>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</si>
  <si>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</si>
  <si>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</si>
  <si>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</si>
  <si>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</si>
  <si>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</si>
  <si>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</si>
  <si>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</si>
  <si>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</si>
  <si>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</si>
  <si>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</si>
  <si>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</si>
  <si>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</si>
  <si>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</si>
  <si>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</si>
  <si>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</si>
  <si>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</si>
  <si>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</si>
  <si>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</si>
  <si>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</si>
  <si>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</si>
  <si>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</si>
  <si>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</si>
  <si>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</si>
  <si>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</si>
  <si>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</si>
  <si>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</si>
  <si>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</si>
  <si>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</si>
  <si>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</si>
  <si>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</si>
  <si>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</si>
  <si>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</si>
  <si>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</si>
  <si>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</si>
  <si>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</si>
  <si>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</si>
  <si>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</si>
  <si>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</si>
  <si>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</si>
  <si>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</si>
  <si>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</si>
  <si>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</si>
  <si>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</si>
  <si>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</si>
  <si>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</si>
  <si>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</si>
  <si>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</si>
  <si>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</si>
  <si>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</si>
  <si>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</si>
  <si>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</si>
  <si>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</si>
  <si>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</si>
  <si>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</si>
  <si>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</si>
  <si>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</si>
  <si>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</si>
  <si>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</si>
  <si>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</si>
  <si>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</si>
  <si>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</si>
  <si>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</si>
  <si>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</si>
  <si>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</si>
  <si>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</si>
  <si>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</si>
  <si>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</si>
  <si>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</si>
  <si>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</si>
  <si>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</si>
  <si>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</si>
  <si>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</si>
  <si>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</si>
  <si>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</si>
  <si>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</si>
  <si>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</si>
  <si>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</si>
  <si>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</si>
  <si>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</si>
  <si>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</si>
  <si>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</si>
  <si>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</si>
  <si>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</si>
  <si>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</si>
  <si>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</si>
  <si>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</si>
  <si>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</si>
  <si>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</si>
  <si>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</si>
  <si>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</si>
  <si>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</si>
  <si>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</si>
  <si>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</si>
  <si>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</si>
  <si>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</si>
  <si>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</si>
  <si>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</si>
  <si>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</si>
  <si>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</si>
  <si>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</si>
  <si>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</si>
  <si>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</si>
  <si>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</si>
  <si>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</si>
  <si>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</si>
  <si>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</si>
  <si>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</si>
  <si>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</si>
  <si>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</si>
  <si>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</si>
  <si>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</si>
  <si>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</si>
  <si>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</si>
  <si>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</si>
  <si>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</si>
  <si>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</si>
  <si>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</si>
  <si>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</si>
  <si>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</si>
  <si>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</si>
  <si>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</si>
  <si>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</si>
  <si>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</si>
  <si>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</si>
  <si>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</si>
  <si>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</si>
  <si>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</si>
  <si>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</si>
  <si>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</si>
  <si>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</si>
  <si>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</si>
  <si>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</si>
  <si>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</si>
  <si>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</si>
  <si>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</si>
  <si>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</si>
  <si>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</si>
  <si>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</si>
  <si>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</si>
  <si>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</si>
  <si>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</si>
  <si>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</si>
  <si>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</si>
  <si>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</si>
  <si>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</si>
  <si>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</si>
  <si>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</si>
  <si>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</si>
  <si>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</si>
  <si>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</si>
  <si>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</si>
  <si>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</si>
  <si>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</si>
  <si>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</si>
  <si>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</si>
  <si>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</si>
  <si>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</si>
  <si>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</si>
  <si>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</si>
  <si>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</si>
  <si>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</si>
  <si>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</si>
  <si>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</si>
  <si>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</si>
  <si>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</si>
  <si>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</si>
  <si>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</si>
  <si>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</si>
  <si>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</si>
  <si>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</si>
  <si>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</si>
  <si>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</si>
  <si>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</si>
  <si>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</si>
  <si>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</si>
  <si>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</si>
  <si>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</si>
  <si>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</si>
  <si>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</si>
  <si>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</si>
  <si>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</si>
  <si>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</si>
  <si>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</si>
  <si>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</si>
  <si>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</si>
  <si>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</si>
  <si>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</si>
  <si>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</si>
  <si>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</si>
  <si>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</si>
  <si>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</si>
  <si>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</si>
  <si>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</si>
  <si>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</si>
  <si>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</si>
  <si>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</si>
  <si>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</si>
  <si>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</si>
  <si>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</si>
  <si>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</si>
  <si>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</si>
  <si>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</si>
  <si>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</si>
  <si>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</si>
  <si>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</si>
  <si>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</si>
  <si>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</si>
  <si>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</si>
  <si>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</si>
  <si>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</si>
  <si>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</si>
  <si>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</si>
  <si>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</si>
  <si>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</si>
  <si>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</si>
  <si>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</si>
  <si>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</si>
  <si>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</si>
  <si>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</si>
  <si>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</si>
  <si>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</si>
  <si>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</si>
  <si>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</si>
  <si>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</si>
  <si>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</si>
  <si>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</si>
  <si>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</si>
  <si>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</si>
  <si>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</si>
  <si>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</si>
  <si>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</si>
  <si>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</si>
  <si>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</si>
  <si>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</si>
  <si>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</si>
  <si>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</si>
  <si>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</si>
  <si>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</si>
  <si>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</si>
  <si>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</si>
  <si>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</si>
  <si>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</si>
  <si>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</si>
  <si>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</si>
  <si>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</si>
  <si>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</si>
  <si>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</si>
  <si>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</si>
  <si>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</si>
  <si>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</si>
  <si>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</si>
  <si>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</si>
  <si>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</si>
  <si>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</si>
  <si>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</si>
  <si>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</si>
  <si>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</si>
  <si>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</si>
  <si>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</si>
  <si>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</si>
  <si>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</si>
  <si>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</si>
  <si>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</si>
  <si>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</si>
  <si>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</si>
  <si>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</si>
  <si>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</si>
  <si>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</si>
  <si>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</si>
  <si>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</si>
  <si>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</si>
  <si>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</si>
  <si>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</si>
  <si>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</si>
  <si>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</si>
  <si>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</si>
  <si>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</si>
  <si>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</si>
  <si>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</si>
  <si>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</si>
  <si>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</si>
  <si>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</si>
  <si>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</si>
  <si>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</si>
  <si>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</si>
  <si>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</si>
  <si>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</si>
  <si>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</si>
  <si>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</si>
  <si>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</si>
  <si>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</si>
  <si>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</si>
  <si>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</si>
  <si>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</si>
  <si>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</si>
  <si>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</si>
  <si>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</si>
  <si>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</si>
  <si>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</si>
  <si>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</si>
  <si>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</si>
  <si>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</si>
  <si>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</si>
  <si>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</si>
  <si>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</si>
  <si>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</si>
  <si>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</si>
  <si>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</si>
  <si>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</si>
  <si>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</si>
  <si>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</si>
  <si>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</si>
  <si>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</si>
  <si>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</si>
  <si>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</si>
  <si>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</si>
  <si>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</si>
  <si>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</si>
  <si>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</si>
  <si>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</si>
  <si>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</si>
  <si>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</si>
  <si>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</si>
  <si>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</si>
  <si>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</si>
  <si>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</si>
  <si>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</si>
  <si>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</si>
  <si>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</si>
  <si>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</si>
  <si>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</si>
  <si>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</si>
  <si>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</si>
  <si>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</si>
  <si>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</si>
  <si>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</si>
  <si>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</si>
  <si>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</si>
  <si>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</si>
  <si>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</si>
  <si>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</si>
  <si>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</si>
  <si>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</si>
  <si>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</si>
  <si>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</si>
  <si>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</si>
  <si>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</si>
  <si>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</si>
  <si>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</si>
  <si>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</si>
  <si>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</si>
  <si>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</si>
  <si>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</si>
  <si>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</si>
  <si>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</si>
  <si>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</si>
  <si>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</si>
  <si>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</si>
  <si>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</si>
  <si>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</si>
  <si>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</si>
  <si>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</si>
  <si>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</si>
  <si>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</si>
  <si>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</si>
  <si>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</si>
  <si>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</si>
  <si>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</si>
  <si>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</si>
  <si>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</si>
  <si>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</si>
  <si>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</si>
  <si>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</si>
  <si>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</si>
  <si>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</si>
  <si>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</si>
  <si>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</si>
  <si>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</si>
  <si>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</si>
  <si>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</si>
  <si>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</si>
  <si>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</si>
  <si>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</si>
  <si>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</si>
  <si>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</si>
  <si>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</si>
  <si>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</si>
  <si>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</si>
  <si>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</si>
  <si>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</si>
  <si>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</si>
  <si>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</si>
  <si>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</si>
  <si>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</si>
  <si>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</si>
  <si>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</si>
  <si>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</si>
  <si>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</si>
  <si>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</si>
  <si>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</si>
  <si>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</si>
  <si>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</si>
  <si>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</si>
  <si>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</si>
  <si>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</si>
  <si>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</si>
  <si>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</si>
  <si>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</si>
  <si>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</si>
  <si>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</si>
  <si>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</si>
  <si>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</si>
  <si>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</si>
  <si>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</si>
  <si>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</si>
  <si>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</si>
  <si>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</si>
  <si>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</si>
  <si>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</si>
  <si>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</si>
  <si>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</si>
  <si>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</si>
  <si>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</si>
  <si>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</si>
  <si>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</si>
  <si>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</si>
  <si>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</si>
  <si>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</si>
  <si>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</si>
  <si>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</si>
  <si>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</si>
  <si>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</si>
  <si>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</si>
  <si>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</si>
  <si>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</si>
  <si>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</si>
  <si>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</si>
  <si>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</si>
  <si>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</si>
  <si>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</si>
  <si>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</si>
  <si>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</si>
  <si>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</si>
  <si>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</si>
  <si>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</si>
  <si>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</si>
  <si>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</si>
  <si>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</si>
  <si>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</si>
  <si>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</si>
  <si>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</si>
  <si>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</si>
  <si>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</si>
  <si>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</si>
  <si>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</si>
  <si>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</si>
  <si>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</si>
  <si>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</si>
  <si>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</si>
  <si>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</si>
  <si>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</si>
  <si>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</si>
  <si>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</si>
  <si>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</si>
  <si>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</si>
  <si>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</si>
  <si>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</si>
  <si>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</si>
  <si>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</si>
  <si>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</si>
  <si>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</si>
  <si>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</si>
  <si>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</si>
  <si>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</si>
  <si>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</si>
  <si>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</si>
  <si>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</si>
  <si>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</si>
  <si>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</si>
  <si>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</si>
  <si>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</si>
  <si>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</si>
  <si>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</si>
  <si>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</si>
  <si>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</si>
  <si>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</si>
  <si>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</si>
  <si>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</si>
  <si>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</si>
  <si>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</si>
  <si>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</si>
  <si>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</si>
  <si>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</si>
  <si>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</si>
  <si>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</si>
  <si>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</si>
  <si>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</si>
  <si>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</si>
  <si>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</si>
  <si>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</si>
  <si>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</si>
  <si>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</si>
  <si>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</si>
  <si>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</si>
  <si>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</si>
  <si>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</si>
  <si>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</si>
  <si>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</si>
  <si>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</si>
  <si>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</si>
  <si>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</si>
  <si>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</si>
  <si>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</si>
  <si>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</si>
  <si>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</si>
  <si>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</si>
  <si>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</si>
  <si>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</si>
  <si>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</si>
  <si>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</si>
  <si>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</si>
  <si>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</si>
  <si>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</si>
  <si>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</si>
  <si>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</si>
  <si>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</si>
  <si>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</si>
  <si>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</si>
  <si>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</si>
  <si>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</si>
  <si>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</si>
  <si>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</si>
  <si>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</si>
  <si>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</si>
  <si>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</si>
  <si>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</si>
  <si>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</si>
  <si>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</si>
  <si>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</si>
  <si>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</si>
  <si>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</si>
  <si>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</si>
  <si>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</si>
  <si>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</si>
  <si>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</si>
  <si>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</si>
  <si>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</si>
  <si>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</si>
  <si>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</si>
  <si>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</si>
  <si>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</si>
  <si>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</si>
  <si>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</si>
  <si>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</si>
  <si>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</si>
  <si>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</si>
  <si>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</si>
  <si>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</si>
  <si>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</si>
  <si>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</si>
  <si>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</si>
  <si>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</si>
  <si>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</si>
  <si>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</si>
  <si>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</si>
  <si>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</si>
  <si>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</si>
  <si>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</si>
  <si>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</si>
  <si>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</si>
  <si>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</si>
  <si>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</si>
  <si>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</si>
  <si>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</si>
  <si>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</si>
  <si>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</si>
  <si>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</si>
  <si>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</si>
  <si>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</si>
  <si>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</si>
  <si>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</si>
  <si>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</si>
  <si>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</si>
  <si>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</si>
  <si>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</si>
  <si>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</si>
  <si>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</si>
  <si>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</si>
  <si>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</si>
  <si>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</si>
  <si>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</si>
  <si>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</si>
  <si>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</si>
  <si>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</si>
  <si>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</si>
  <si>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</si>
  <si>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</si>
  <si>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</si>
  <si>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</si>
  <si>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</si>
  <si>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</si>
  <si>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</si>
  <si>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</si>
  <si>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</si>
  <si>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</si>
  <si>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</si>
  <si>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</si>
  <si>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</si>
  <si>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</si>
  <si>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</si>
  <si>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</si>
  <si>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</si>
  <si>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</si>
  <si>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</si>
  <si>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</si>
  <si>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</si>
  <si>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</si>
  <si>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</si>
  <si>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</si>
  <si>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</si>
  <si>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</si>
  <si>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</si>
  <si>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</si>
  <si>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</si>
  <si>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</si>
  <si>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</si>
  <si>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</si>
  <si>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</si>
  <si>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</si>
  <si>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</si>
  <si>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</si>
  <si>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</si>
  <si>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</si>
  <si>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</si>
  <si>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</si>
  <si>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</si>
  <si>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</si>
  <si>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</si>
  <si>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</si>
  <si>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</si>
  <si>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</si>
  <si>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</si>
  <si>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</si>
  <si>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</si>
  <si>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</si>
  <si>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</si>
  <si>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</si>
  <si>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</si>
  <si>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</si>
  <si>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</si>
  <si>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</si>
  <si>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</si>
  <si>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</si>
  <si>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</si>
  <si>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</si>
  <si>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</si>
  <si>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</si>
  <si>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</si>
  <si>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</si>
  <si>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</si>
  <si>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</si>
  <si>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</si>
  <si>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</si>
  <si>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</si>
  <si>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</si>
  <si>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</si>
  <si>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</si>
  <si>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</si>
  <si>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</si>
  <si>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</si>
  <si>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</si>
  <si>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</si>
  <si>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</si>
  <si>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</si>
  <si>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</si>
  <si>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</si>
  <si>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</si>
  <si>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</si>
  <si>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</si>
  <si>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</si>
  <si>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</si>
  <si>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</si>
  <si>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</si>
  <si>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</si>
  <si>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</si>
  <si>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</si>
  <si>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</si>
  <si>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</si>
  <si>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</si>
  <si>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</si>
  <si>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</si>
  <si>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</si>
  <si>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</si>
  <si>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</si>
  <si>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</si>
  <si>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</si>
  <si>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</si>
  <si>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</si>
  <si>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</si>
  <si>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</si>
  <si>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</si>
  <si>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</si>
  <si>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</si>
  <si>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</si>
  <si>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</si>
  <si>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</si>
  <si>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</si>
  <si>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</si>
  <si>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</si>
  <si>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</si>
  <si>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</si>
  <si>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</si>
  <si>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</si>
  <si>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</si>
  <si>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</si>
  <si>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</si>
  <si>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</si>
  <si>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</si>
  <si>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</si>
  <si>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</si>
  <si>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</si>
  <si>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</si>
  <si>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</si>
  <si>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</si>
  <si>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</si>
  <si>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</si>
  <si>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</si>
  <si>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</si>
  <si>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</si>
  <si>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</si>
  <si>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</si>
  <si>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</si>
  <si>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</si>
  <si>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</si>
  <si>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</si>
  <si>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</si>
  <si>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</si>
  <si>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</si>
  <si>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</si>
  <si>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</si>
  <si>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</si>
  <si>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</si>
  <si>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</si>
  <si>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</si>
  <si>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</si>
  <si>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</si>
  <si>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</si>
  <si>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</si>
  <si>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</si>
  <si>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</si>
  <si>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</si>
  <si>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</si>
  <si>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</si>
  <si>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</si>
  <si>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</si>
  <si>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</si>
  <si>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</si>
  <si>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</si>
  <si>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</si>
  <si>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</si>
  <si>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</si>
  <si>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</si>
  <si>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</si>
  <si>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</si>
  <si>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</si>
  <si>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</si>
  <si>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</si>
  <si>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</si>
  <si>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</si>
  <si>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</si>
  <si>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</si>
  <si>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</si>
  <si>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</si>
  <si>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</si>
  <si>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</si>
  <si>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</si>
  <si>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</si>
  <si>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</si>
  <si>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</si>
  <si>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</si>
  <si>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</si>
  <si>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</si>
  <si>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</si>
  <si>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</si>
  <si>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</si>
  <si>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</si>
  <si>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</si>
  <si>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</si>
  <si>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</si>
  <si>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</si>
  <si>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</si>
  <si>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</si>
  <si>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</si>
  <si>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</si>
  <si>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</si>
  <si>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</si>
  <si>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</si>
  <si>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</si>
  <si>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</si>
  <si>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</si>
  <si>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</si>
  <si>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</si>
  <si>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</si>
  <si>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</si>
  <si>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</si>
  <si>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</si>
  <si>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</si>
  <si>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</si>
  <si>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</si>
  <si>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</si>
  <si>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</si>
  <si>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</si>
  <si>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</si>
  <si>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</si>
  <si>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</si>
  <si>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</si>
  <si>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</si>
  <si>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</si>
  <si>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</si>
  <si>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</si>
  <si>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</si>
  <si>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</si>
  <si>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</si>
  <si>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</si>
  <si>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</si>
  <si>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</si>
  <si>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</si>
  <si>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</si>
  <si>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</si>
  <si>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</si>
  <si>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</si>
  <si>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</si>
  <si>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</si>
  <si>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</si>
  <si>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</si>
  <si>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</si>
  <si>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</si>
  <si>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</si>
  <si>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</si>
  <si>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</si>
  <si>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</si>
  <si>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</si>
  <si>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</si>
  <si>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</si>
  <si>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</si>
  <si>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</si>
  <si>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</si>
  <si>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</si>
  <si>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</si>
  <si>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</si>
  <si>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</si>
  <si>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</si>
  <si>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</si>
  <si>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</si>
  <si>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</si>
  <si>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</si>
  <si>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</si>
  <si>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</si>
  <si>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</si>
  <si>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</si>
  <si>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</si>
  <si>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</si>
  <si>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</si>
  <si>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</si>
  <si>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</si>
  <si>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</si>
  <si>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</si>
  <si>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</si>
  <si>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</si>
  <si>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</si>
  <si>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</si>
  <si>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</si>
  <si>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</si>
  <si>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</si>
  <si>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</si>
  <si>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</si>
  <si>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</si>
  <si>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</si>
  <si>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</si>
  <si>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</si>
  <si>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</si>
  <si>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</si>
  <si>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</si>
  <si>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</si>
  <si>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</si>
  <si>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</si>
  <si>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</si>
  <si>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</si>
  <si>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</si>
  <si>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</si>
  <si>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</si>
  <si>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</si>
  <si>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</si>
  <si>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</si>
  <si>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</si>
  <si>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</si>
  <si>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</si>
  <si>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</si>
  <si>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</si>
  <si>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</si>
  <si>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</si>
  <si>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</si>
  <si>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</si>
  <si>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</si>
  <si>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</si>
  <si>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</si>
  <si>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</si>
  <si>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</si>
  <si>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</si>
  <si>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</si>
  <si>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</si>
  <si>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</si>
  <si>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</si>
  <si>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</si>
  <si>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</si>
  <si>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</si>
  <si>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</si>
  <si>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</si>
  <si>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</si>
  <si>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</si>
  <si>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</si>
  <si>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</si>
  <si>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</si>
  <si>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</si>
  <si>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</si>
  <si>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</si>
  <si>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</si>
  <si>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</si>
  <si>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</si>
  <si>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</si>
  <si>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</si>
  <si>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</si>
  <si>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</si>
  <si>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</si>
  <si>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</si>
  <si>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</si>
  <si>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</si>
  <si>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</si>
  <si>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</si>
  <si>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</si>
  <si>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</si>
  <si>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</si>
  <si>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</si>
  <si>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</si>
  <si>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</si>
  <si>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</si>
  <si>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</si>
  <si>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</si>
  <si>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</si>
  <si>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</si>
  <si>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</si>
  <si>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</si>
  <si>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</si>
  <si>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</si>
  <si>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</si>
  <si>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</si>
  <si>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</si>
  <si>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</si>
  <si>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</si>
  <si>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</si>
  <si>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</si>
  <si>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</si>
  <si>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</si>
  <si>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</si>
  <si>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</si>
  <si>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</si>
  <si>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</si>
  <si>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</si>
  <si>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</si>
  <si>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</si>
  <si>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</si>
  <si>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</si>
  <si>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</si>
  <si>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</si>
  <si>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</si>
  <si>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</si>
  <si>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</si>
  <si>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</si>
  <si>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</si>
  <si>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</si>
  <si>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</si>
  <si>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</si>
  <si>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</si>
  <si>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</si>
  <si>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</si>
  <si>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</si>
  <si>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</si>
  <si>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</si>
  <si>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</si>
  <si>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</si>
  <si>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</si>
  <si>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</si>
  <si>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</si>
  <si>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</si>
  <si>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</si>
  <si>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</si>
  <si>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</si>
  <si>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</si>
  <si>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</si>
  <si>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</si>
  <si>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</si>
  <si>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</si>
  <si>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</si>
  <si>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</si>
  <si>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</si>
  <si>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</si>
  <si>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</si>
  <si>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</si>
  <si>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</si>
  <si>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</si>
  <si>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</si>
  <si>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</si>
  <si>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</si>
  <si>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</si>
  <si>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</si>
  <si>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</si>
  <si>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</si>
  <si>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</si>
  <si>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</si>
  <si>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</si>
  <si>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</si>
  <si>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</si>
  <si>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</si>
  <si>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</si>
  <si>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</si>
  <si>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</si>
  <si>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</si>
  <si>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</si>
  <si>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</si>
  <si>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</si>
  <si>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</si>
  <si>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</si>
  <si>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</si>
  <si>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</si>
  <si>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</si>
  <si>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</si>
  <si>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</si>
  <si>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</si>
  <si>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</si>
  <si>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</si>
  <si>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</si>
  <si>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</si>
  <si>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</si>
  <si>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</si>
  <si>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</si>
  <si>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</si>
  <si>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</si>
  <si>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</si>
  <si>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</si>
  <si>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</si>
  <si>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</si>
  <si>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</si>
  <si>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</si>
  <si>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</si>
  <si>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</si>
  <si>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</si>
  <si>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</si>
  <si>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</si>
  <si>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</si>
  <si>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</si>
  <si>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</si>
  <si>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</si>
  <si>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</si>
  <si>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</si>
  <si>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</si>
  <si>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</si>
  <si>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</si>
  <si>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</si>
  <si>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</si>
  <si>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</si>
  <si>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</si>
  <si>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</si>
  <si>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</si>
  <si>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</si>
  <si>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</si>
  <si>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</si>
  <si>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</si>
  <si>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</si>
  <si>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</si>
  <si>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</si>
  <si>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</si>
  <si>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</si>
  <si>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</si>
  <si>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</si>
  <si>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</si>
  <si>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</si>
  <si>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</si>
  <si>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</si>
  <si>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</si>
  <si>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</si>
  <si>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</si>
  <si>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</si>
  <si>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</si>
  <si>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</si>
  <si>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</si>
  <si>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</si>
  <si>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</si>
  <si>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</si>
  <si>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</si>
  <si>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</si>
  <si>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</si>
  <si>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</si>
  <si>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</si>
  <si>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</si>
  <si>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</si>
  <si>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</si>
  <si>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</si>
  <si>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</si>
  <si>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</si>
  <si>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</si>
  <si>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</si>
  <si>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</si>
  <si>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</si>
  <si>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</si>
  <si>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</si>
  <si>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</si>
  <si>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</si>
  <si>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</si>
  <si>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</si>
  <si>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</si>
  <si>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</si>
  <si>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</si>
  <si>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</si>
  <si>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</si>
  <si>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</si>
  <si>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</si>
  <si>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</si>
  <si>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</si>
  <si>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</si>
  <si>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</si>
  <si>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</si>
  <si>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</si>
  <si>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</si>
  <si>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</si>
  <si>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</si>
  <si>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</si>
  <si>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</si>
  <si>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</si>
  <si>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</si>
  <si>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</si>
  <si>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</si>
  <si>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</si>
  <si>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</si>
  <si>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</si>
  <si>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</si>
  <si>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</si>
  <si>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</si>
  <si>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</si>
  <si>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</si>
  <si>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</si>
  <si>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</si>
  <si>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</si>
  <si>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</si>
  <si>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</si>
  <si>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</si>
  <si>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</si>
  <si>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</si>
  <si>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</si>
  <si>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</si>
  <si>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</si>
  <si>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</si>
  <si>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</si>
  <si>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</si>
  <si>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</si>
  <si>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</si>
  <si>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</si>
  <si>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</si>
  <si>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</si>
  <si>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</si>
  <si>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</si>
  <si>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</si>
  <si>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</si>
  <si>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</si>
  <si>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</si>
  <si>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</si>
  <si>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</si>
  <si>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</si>
  <si>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</si>
  <si>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</si>
  <si>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</si>
  <si>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</si>
  <si>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</si>
  <si>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</si>
  <si>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</si>
  <si>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</si>
  <si>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</si>
  <si>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</si>
  <si>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</si>
  <si>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</si>
  <si>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</si>
  <si>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</si>
  <si>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</si>
  <si>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</si>
  <si>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</si>
  <si>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</si>
  <si>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</si>
  <si>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</si>
  <si>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</si>
  <si>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</si>
  <si>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</si>
  <si>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</si>
  <si>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</si>
  <si>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</si>
  <si>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</si>
  <si>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</si>
  <si>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</si>
  <si>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</si>
  <si>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</si>
  <si>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</si>
  <si>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</si>
  <si>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</si>
  <si>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</si>
  <si>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</si>
  <si>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</si>
  <si>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</si>
  <si>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</si>
  <si>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</si>
  <si>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</si>
  <si>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</si>
  <si>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</si>
  <si>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</si>
  <si>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</si>
  <si>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</si>
  <si>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</si>
  <si>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</si>
  <si>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</si>
  <si>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</si>
  <si>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</si>
  <si>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</si>
  <si>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</si>
  <si>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</si>
  <si>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</si>
  <si>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</si>
  <si>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</si>
  <si>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</si>
  <si>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</si>
  <si>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</si>
  <si>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</si>
  <si>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</si>
  <si>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</si>
  <si>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</si>
  <si>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</si>
  <si>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</si>
  <si>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</si>
  <si>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</si>
  <si>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</si>
  <si>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</si>
  <si>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</si>
  <si>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</si>
  <si>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</si>
  <si>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</si>
  <si>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</si>
  <si>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</si>
  <si>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</si>
  <si>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</si>
  <si>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</si>
  <si>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</si>
  <si>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</si>
  <si>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</si>
  <si>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</si>
  <si>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</si>
  <si>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</si>
  <si>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</si>
  <si>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</si>
  <si>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</si>
  <si>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</si>
  <si>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</si>
  <si>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</si>
  <si>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</si>
  <si>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</si>
  <si>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</si>
  <si>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</si>
  <si>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</si>
  <si>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</si>
  <si>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</si>
  <si>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</si>
  <si>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</si>
  <si>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</si>
  <si>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</si>
  <si>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</si>
  <si>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</si>
  <si>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</si>
  <si>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</si>
  <si>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</si>
  <si>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</si>
  <si>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</si>
  <si>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</si>
  <si>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</si>
  <si>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</si>
  <si>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</si>
  <si>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</si>
  <si>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</si>
  <si>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</si>
  <si>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</si>
  <si>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</si>
  <si>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</si>
  <si>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</si>
  <si>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</si>
  <si>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</si>
  <si>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</si>
  <si>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</si>
  <si>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</si>
  <si>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</si>
  <si>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</si>
  <si>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</si>
  <si>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</si>
  <si>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</si>
  <si>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</si>
  <si>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</si>
  <si>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</si>
  <si>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</si>
  <si>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</si>
  <si>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</si>
  <si>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</si>
  <si>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</si>
  <si>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</si>
  <si>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</si>
  <si>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</si>
  <si>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</si>
  <si>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</si>
  <si>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</si>
  <si>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</si>
  <si>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</si>
  <si>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</si>
  <si>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</si>
  <si>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</si>
  <si>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</si>
  <si>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</si>
  <si>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</si>
  <si>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</si>
  <si>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</si>
  <si>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</si>
  <si>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</si>
  <si>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</si>
  <si>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</si>
  <si>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</si>
  <si>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</si>
  <si>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</si>
  <si>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</si>
  <si>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</si>
  <si>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</si>
  <si>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</si>
  <si>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</si>
  <si>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</si>
  <si>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</si>
  <si>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</si>
  <si>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</si>
  <si>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Avenue 42 Apartments</t>
  </si>
  <si>
    <t>Other: Lender Third Party / Financing / Legal Fees</t>
  </si>
  <si>
    <t>Other: Borrower Counsel</t>
  </si>
  <si>
    <t>Other: Hard Costs Outside of GC Contract</t>
  </si>
  <si>
    <t>Other: Third Party Reports</t>
  </si>
  <si>
    <t>Fixed</t>
  </si>
  <si>
    <t>Short-Term Bond Reinvestment Proceeds</t>
  </si>
  <si>
    <t>Deferred Costs</t>
  </si>
  <si>
    <t>Cashflow From Operations</t>
  </si>
  <si>
    <t>Avenue 42 &amp; Country Club Dr</t>
  </si>
  <si>
    <t>Indio</t>
  </si>
  <si>
    <t>General Office Costs</t>
  </si>
  <si>
    <t>Benefits</t>
  </si>
  <si>
    <t>Pacific Housing, Inc.</t>
  </si>
  <si>
    <t>City of Indio</t>
  </si>
  <si>
    <t>Bryan Montgomery</t>
  </si>
  <si>
    <t>100 Civic Center Mall</t>
  </si>
  <si>
    <t>bmontgomery@indio.org</t>
  </si>
  <si>
    <t>40%/60% Average Income</t>
  </si>
  <si>
    <t>2115 J St, Ste 201</t>
  </si>
  <si>
    <t>CA</t>
  </si>
  <si>
    <t>Mat Eland</t>
  </si>
  <si>
    <t>916.903.6213</t>
  </si>
  <si>
    <t>meland@pacifichousing.org</t>
  </si>
  <si>
    <t>Managing GP</t>
  </si>
  <si>
    <t>401 Wilshire Blvd, 11th Floor</t>
  </si>
  <si>
    <t>Santa Monica</t>
  </si>
  <si>
    <t>Brandon Hodge</t>
  </si>
  <si>
    <t>(424) 222-8253</t>
  </si>
  <si>
    <t>bhodge@lincolnavenue.com</t>
  </si>
  <si>
    <t>Santa Monica, CA 90401</t>
  </si>
  <si>
    <t>CBRE</t>
  </si>
  <si>
    <t>4520 Main Street Suite 600</t>
  </si>
  <si>
    <t>Kansas City, MO 64111</t>
  </si>
  <si>
    <t xml:space="preserve">Matt Hummel </t>
  </si>
  <si>
    <t>816-968-5891</t>
  </si>
  <si>
    <t>matt.hummel@cbre.com</t>
  </si>
  <si>
    <t>450 Main Street, Suite 1600</t>
  </si>
  <si>
    <t>Matt Hummel</t>
  </si>
  <si>
    <t>EisnerAmper LLP</t>
  </si>
  <si>
    <t>733 Third Avenue</t>
  </si>
  <si>
    <t>New York, NY 10017</t>
  </si>
  <si>
    <t>Jeremy Densmore</t>
  </si>
  <si>
    <t>jeremy.densmore@eisneramper.com</t>
  </si>
  <si>
    <t>Cornerstone Residential CA, Inc.</t>
  </si>
  <si>
    <t>1525 North Main Street, Suite 105</t>
  </si>
  <si>
    <t>Bountiful, UT 84010</t>
  </si>
  <si>
    <t>Melissa Clay</t>
  </si>
  <si>
    <t>mclay@cornerstonerent.com</t>
  </si>
  <si>
    <t>California Housing Finance Agency</t>
  </si>
  <si>
    <t>500 Capitol Mall, Suite 900</t>
  </si>
  <si>
    <t>Sacramento, CA 95814</t>
  </si>
  <si>
    <t>Jessica McQueen</t>
  </si>
  <si>
    <t>jmcqueen@CalHFA.ca.gov</t>
  </si>
  <si>
    <t>US. Bancorp Community Development Corporation</t>
  </si>
  <si>
    <t>1307 Washington Avenue, Suite 300</t>
  </si>
  <si>
    <t>St. Louis, MO 63103</t>
  </si>
  <si>
    <t>Kyle Kochtanek</t>
  </si>
  <si>
    <t>kyle.kochtanek@usbank.com</t>
  </si>
  <si>
    <t>Serafin Meranan</t>
  </si>
  <si>
    <t>serafinm@aoarchitects.com</t>
  </si>
  <si>
    <t>Architects Orange</t>
  </si>
  <si>
    <t>144 N Orange St</t>
  </si>
  <si>
    <t>Orange, CA 92866</t>
  </si>
  <si>
    <t>CSI Construction Company</t>
  </si>
  <si>
    <t>500 Broadway</t>
  </si>
  <si>
    <t>Sacramento, CA 95818</t>
  </si>
  <si>
    <t>Gabe VanHooser</t>
  </si>
  <si>
    <t>916-827-6760</t>
  </si>
  <si>
    <t>gvanhooser@csigc.com</t>
  </si>
  <si>
    <t>Northgate Indio, LLC</t>
  </si>
  <si>
    <t>Nachhattar Singh Chandi</t>
  </si>
  <si>
    <t>Managing Member</t>
  </si>
  <si>
    <t xml:space="preserve">42270 Spectrum Street </t>
  </si>
  <si>
    <t>Freddie Mac / Berkadia</t>
  </si>
  <si>
    <t>5960 Berkshire Lane, Suite 1000</t>
  </si>
  <si>
    <t>Dallas, TX 75225</t>
  </si>
  <si>
    <t>Tim Leonhard</t>
  </si>
  <si>
    <t>First Mortgage</t>
  </si>
  <si>
    <t>Loan, Tax-Exempt, Recycled Bonds</t>
  </si>
  <si>
    <t>Tax Exempt Construction Loan</t>
  </si>
  <si>
    <t>Tax Exempt Recycled Bonds</t>
  </si>
  <si>
    <t>Taxable Loan</t>
  </si>
  <si>
    <t>LIHTC Equity</t>
  </si>
  <si>
    <t>401 Wilshire Blvd., 11th Floor</t>
  </si>
  <si>
    <t>424-222-8253</t>
  </si>
  <si>
    <t>Variable</t>
  </si>
  <si>
    <t>Other (Specify below)</t>
  </si>
  <si>
    <t>Three-story walk-up garden style with a single story community clubhouse</t>
  </si>
  <si>
    <t>606-650-001</t>
  </si>
  <si>
    <t>5 BR</t>
  </si>
  <si>
    <t>35 ft / 3 stories</t>
  </si>
  <si>
    <t xml:space="preserve">Freddie Mac </t>
  </si>
  <si>
    <t>Tim Leonhard (Senior Managing Director, Berkadia)</t>
  </si>
  <si>
    <t>Indio, CA 92203</t>
  </si>
  <si>
    <t>Avenue 42 AGP LLC</t>
  </si>
  <si>
    <t>Administrative GP</t>
  </si>
  <si>
    <t>Developer</t>
  </si>
  <si>
    <t>Cohen Liuzzo PLLC</t>
  </si>
  <si>
    <t>124 N 3rd St, 1</t>
  </si>
  <si>
    <t>Brooklyn, NY 11249</t>
  </si>
  <si>
    <t>Peter Liuzzo</t>
  </si>
  <si>
    <t>PLiuzzo@cohenliuzzo.com</t>
  </si>
  <si>
    <t>The Code Group, Inc. dba VCA Green</t>
  </si>
  <si>
    <t>1845 W. Orangewood Ave., Suite 220</t>
  </si>
  <si>
    <t>Orange, CA 92868</t>
  </si>
  <si>
    <t>Robyn Vettraino</t>
  </si>
  <si>
    <t>RVettraino@vca-green.com</t>
  </si>
  <si>
    <t>Residential, Vacant Land</t>
  </si>
  <si>
    <t>Residential High (RH, Northgate Project Master Plan)</t>
  </si>
  <si>
    <t xml:space="preserve">Residential High (RH, Northgate Project Master Plan) / ~25 du per acre </t>
  </si>
  <si>
    <t>Tax-Exempt Recycled Bonds</t>
  </si>
  <si>
    <t>Brad Edgar</t>
  </si>
  <si>
    <t>1401 Lawrence Street, Suite 900</t>
  </si>
  <si>
    <t>Denver, CO 80202</t>
  </si>
  <si>
    <t>Stifel, Nicolaus &amp; Company, Incorporated</t>
  </si>
  <si>
    <t>Freddie Mac</t>
  </si>
  <si>
    <t>CUAC prepared by VCA Green Consultants</t>
  </si>
  <si>
    <t>Provided</t>
  </si>
  <si>
    <t>Not Applicable</t>
  </si>
  <si>
    <t>Avenue 42 Apartments LP</t>
  </si>
  <si>
    <t>Lincoln Avenue Capital LLC (dba Lincoln Avenue Communities)</t>
  </si>
  <si>
    <t>One-Month SOFR</t>
  </si>
  <si>
    <t xml:space="preserve">Sacramento </t>
  </si>
  <si>
    <t>SW corner of Country Club Dr and Avenue 42</t>
  </si>
  <si>
    <t>Air Conditioning</t>
  </si>
  <si>
    <t>A/V Units</t>
  </si>
  <si>
    <t>Above residual receipts line for cash flow</t>
  </si>
  <si>
    <t>Internet, Parking, Late Fees, Credit Checks,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</si>
</sst>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quot;$&quot;_(#,##0_);&quot;$&quot;\(#,##0\);_(&quot;–&quot;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060">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7">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186" fontId="28" fillId="0" borderId="0" xfId="0" applyNumberFormat="1" applyFont="1" applyAlignment="1">
      <alignment horizontal="right"/>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0" borderId="3" xfId="0" applyFont="1" applyBorder="1" applyAlignment="1">
      <alignment horizontal="center"/>
    </xf>
    <xf numFmtId="0" fontId="19" fillId="0" borderId="5" xfId="0" applyFont="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9" fillId="0" borderId="4" xfId="0" applyFont="1" applyBorder="1" applyAlignment="1">
      <alignment horizontal="center"/>
    </xf>
    <xf numFmtId="0" fontId="28" fillId="45" borderId="11" xfId="0" applyFont="1" applyFill="1" applyBorder="1" applyAlignment="1">
      <alignment horizontal="center"/>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0" fontId="28" fillId="2" borderId="11" xfId="0" applyFont="1" applyFill="1" applyBorder="1" applyAlignment="1">
      <alignment horizontal="center"/>
    </xf>
    <xf numFmtId="0" fontId="19" fillId="0" borderId="11" xfId="0" applyFont="1" applyBorder="1" applyAlignment="1">
      <alignment horizontal="center"/>
    </xf>
    <xf numFmtId="0" fontId="0" fillId="0" borderId="11" xfId="0" applyBorder="1" applyAlignment="1">
      <alignment horizontal="center"/>
    </xf>
    <xf numFmtId="0" fontId="0" fillId="0" borderId="6" xfId="0" applyBorder="1" applyAlignment="1">
      <alignment horizontal="left"/>
    </xf>
    <xf numFmtId="0" fontId="19"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166" fontId="28" fillId="5" borderId="4" xfId="0" applyNumberFormat="1" applyFont="1" applyFill="1" applyBorder="1" applyAlignment="1" applyProtection="1">
      <alignment horizontal="left"/>
      <protection locked="0"/>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10" fontId="28" fillId="0" borderId="11" xfId="0" applyNumberFormat="1" applyFont="1" applyBorder="1" applyAlignment="1">
      <alignment horizontal="center"/>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168" fontId="19" fillId="0" borderId="3" xfId="0" applyNumberFormat="1" applyFont="1" applyBorder="1" applyAlignment="1">
      <alignment horizontal="left" vertical="top"/>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protection locked="0"/>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xf>
    <xf numFmtId="0" fontId="26" fillId="0" borderId="10" xfId="0" applyFont="1" applyBorder="1" applyAlignment="1">
      <alignment horizontal="center"/>
    </xf>
    <xf numFmtId="0" fontId="0" fillId="5" borderId="6" xfId="0" applyFill="1" applyBorder="1" applyAlignment="1" applyProtection="1">
      <alignment horizontal="left"/>
      <protection locked="0"/>
    </xf>
    <xf numFmtId="3" fontId="28" fillId="0" borderId="11" xfId="0" applyNumberFormat="1" applyFont="1" applyBorder="1" applyAlignment="1">
      <alignment horizontal="center"/>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9" fillId="5" borderId="11" xfId="0" applyFont="1" applyFill="1" applyBorder="1" applyAlignment="1" applyProtection="1">
      <alignment vertical="center" wrapText="1"/>
      <protection locked="0"/>
    </xf>
    <xf numFmtId="0" fontId="19" fillId="5" borderId="11" xfId="0" applyFont="1" applyFill="1" applyBorder="1" applyAlignment="1" applyProtection="1">
      <alignment horizontal="left" vertical="center" wrapText="1"/>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6" xfId="0" applyFont="1" applyBorder="1" applyAlignment="1">
      <alignment horizontal="right"/>
    </xf>
    <xf numFmtId="0" fontId="26" fillId="0" borderId="5" xfId="0" applyFont="1" applyBorder="1" applyAlignment="1">
      <alignment horizontal="right"/>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3" fontId="28" fillId="5" borderId="11" xfId="0" applyNumberFormat="1" applyFont="1" applyFill="1" applyBorder="1" applyAlignment="1" applyProtection="1">
      <alignment horizontal="center"/>
      <protection locked="0"/>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0" borderId="9" xfId="0" applyFont="1" applyBorder="1" applyAlignment="1">
      <alignment horizontal="center"/>
    </xf>
    <xf numFmtId="0" fontId="38" fillId="5" borderId="6" xfId="0" applyFont="1" applyFill="1" applyBorder="1" applyAlignment="1" applyProtection="1">
      <alignment horizontal="left"/>
      <protection locked="0"/>
    </xf>
    <xf numFmtId="168" fontId="28" fillId="0" borderId="11" xfId="0" applyNumberFormat="1" applyFont="1" applyBorder="1" applyAlignment="1">
      <alignment horizontal="center"/>
    </xf>
    <xf numFmtId="168" fontId="0" fillId="43" borderId="6" xfId="0" applyNumberFormat="1" applyFill="1" applyBorder="1" applyAlignment="1" applyProtection="1">
      <alignment horizontal="right"/>
      <protection locked="0"/>
    </xf>
    <xf numFmtId="0" fontId="28" fillId="5" borderId="11" xfId="0" applyFont="1" applyFill="1" applyBorder="1" applyAlignment="1" applyProtection="1">
      <alignment horizontal="center"/>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1" fontId="28"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5" borderId="6" xfId="0" applyFont="1" applyFill="1" applyBorder="1" applyAlignment="1" applyProtection="1">
      <alignment horizontal="left"/>
      <protection locked="0"/>
    </xf>
    <xf numFmtId="168" fontId="28" fillId="5" borderId="6" xfId="0" applyNumberFormat="1" applyFont="1" applyFill="1" applyBorder="1" applyAlignment="1" applyProtection="1">
      <alignment horizontal="right"/>
      <protection locked="0"/>
    </xf>
    <xf numFmtId="1" fontId="28" fillId="5" borderId="6" xfId="0" applyNumberFormat="1" applyFont="1" applyFill="1" applyBorder="1" applyAlignment="1" applyProtection="1">
      <alignment horizontal="right"/>
      <protection locked="0"/>
    </xf>
    <xf numFmtId="0" fontId="28" fillId="5" borderId="6" xfId="0" applyFont="1" applyFill="1" applyBorder="1" applyAlignment="1" applyProtection="1">
      <alignment horizontal="left"/>
      <protection locked="0"/>
    </xf>
    <xf numFmtId="0" fontId="28"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8" fillId="5" borderId="4" xfId="0"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0" fontId="0" fillId="5" borderId="6" xfId="0" applyFill="1" applyBorder="1" applyProtection="1">
      <protection locked="0"/>
    </xf>
    <xf numFmtId="0" fontId="28" fillId="0" borderId="4" xfId="0" applyFont="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43" borderId="6" xfId="0" applyFont="1" applyFill="1" applyBorder="1" applyAlignment="1" applyProtection="1">
      <alignment vertical="center"/>
      <protection locked="0"/>
    </xf>
    <xf numFmtId="0" fontId="25" fillId="3" borderId="0" xfId="0" applyFont="1" applyFill="1" applyAlignment="1">
      <alignment horizontal="center" vertical="center"/>
    </xf>
    <xf numFmtId="0" fontId="19" fillId="0" borderId="0" xfId="0" applyFont="1" applyAlignment="1">
      <alignment wrapText="1"/>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28"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0" fontId="19" fillId="5" borderId="0"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28" fillId="0" borderId="6" xfId="0" applyFont="1" applyBorder="1" applyAlignment="1">
      <alignment horizontal="left"/>
    </xf>
    <xf numFmtId="166" fontId="28" fillId="5" borderId="6" xfId="0" applyNumberFormat="1" applyFont="1" applyFill="1" applyBorder="1" applyAlignment="1" applyProtection="1">
      <alignment horizontal="left"/>
      <protection locked="0"/>
    </xf>
    <xf numFmtId="0" fontId="0" fillId="0" borderId="0" xfId="0" applyAlignment="1">
      <alignment wrapText="1"/>
    </xf>
    <xf numFmtId="0" fontId="27" fillId="43" borderId="6" xfId="0" applyFont="1" applyFill="1" applyBorder="1" applyAlignment="1" applyProtection="1">
      <alignment horizontal="left"/>
      <protection locked="0"/>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center"/>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9" fillId="0" borderId="0" xfId="0" applyFont="1" applyAlignment="1">
      <alignment horizontal="left" vertical="top" wrapText="1"/>
    </xf>
    <xf numFmtId="0" fontId="0" fillId="0" borderId="0" xfId="0" applyAlignment="1">
      <alignment vertical="top" wrapText="1"/>
    </xf>
    <xf numFmtId="0" fontId="19"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9"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5" borderId="6" xfId="0" applyFont="1" applyFill="1" applyBorder="1" applyAlignment="1" applyProtection="1">
      <alignment horizontal="left" wrapText="1"/>
      <protection locked="0"/>
    </xf>
    <xf numFmtId="10" fontId="0" fillId="43" borderId="6" xfId="0" applyNumberFormat="1" applyFill="1" applyBorder="1" applyAlignment="1" applyProtection="1">
      <alignment horizontal="center"/>
      <protection locked="0"/>
    </xf>
    <xf numFmtId="166" fontId="28"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0" fontId="19" fillId="0" borderId="0" xfId="0" applyFont="1" applyAlignment="1">
      <alignment horizontal="left" wrapText="1"/>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9" fillId="5" borderId="11" xfId="0" applyFont="1" applyFill="1" applyBorder="1" applyAlignment="1" applyProtection="1">
      <alignment horizontal="left" wrapText="1"/>
      <protection locked="0"/>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0" fontId="28" fillId="5" borderId="4" xfId="0" applyFont="1" applyFill="1" applyBorder="1" applyAlignment="1" applyProtection="1">
      <alignment wrapText="1"/>
      <protection locked="0"/>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0" fontId="28" fillId="0" borderId="1" xfId="0" applyFont="1" applyBorder="1" applyAlignment="1">
      <alignment horizontal="center" vertical="top" wrapText="1"/>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6" fillId="5" borderId="11" xfId="0" applyFont="1" applyFill="1" applyBorder="1" applyAlignment="1" applyProtection="1">
      <alignment horizontal="center"/>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0" fontId="26" fillId="0" borderId="0" xfId="0" applyFont="1" applyAlignment="1">
      <alignment horizontal="center" vertical="center"/>
    </xf>
    <xf numFmtId="168" fontId="0" fillId="5" borderId="11"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8" fillId="0" borderId="11" xfId="0" applyFont="1" applyBorder="1" applyAlignment="1">
      <alignment horizontal="center"/>
    </xf>
    <xf numFmtId="0" fontId="28" fillId="0" borderId="11" xfId="0" applyFont="1" applyBorder="1" applyAlignment="1">
      <alignment horizontal="center" vertical="top" wrapText="1"/>
    </xf>
    <xf numFmtId="0" fontId="26" fillId="0" borderId="11" xfId="0" applyFont="1" applyBorder="1" applyAlignment="1">
      <alignment horizontal="center"/>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0" fontId="28" fillId="0" borderId="3" xfId="0" applyFont="1" applyBorder="1" applyAlignment="1">
      <alignment horizontal="left"/>
    </xf>
    <xf numFmtId="2" fontId="19" fillId="0" borderId="0" xfId="543" applyNumberFormat="1" applyAlignment="1">
      <alignment horizontal="center"/>
    </xf>
    <xf numFmtId="0" fontId="19" fillId="0" borderId="0" xfId="543" applyAlignment="1">
      <alignment horizontal="center"/>
    </xf>
    <xf numFmtId="171" fontId="19" fillId="0" borderId="0" xfId="543" applyNumberFormat="1" applyAlignment="1">
      <alignment horizontal="center"/>
    </xf>
    <xf numFmtId="171" fontId="19" fillId="0" borderId="0" xfId="543" applyNumberFormat="1" applyAlignment="1">
      <alignment horizontal="right"/>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157" fillId="0" borderId="0" xfId="0" applyNumberFormat="1" applyFont="1" applyAlignment="1">
      <alignment horizontal="center" vertical="center" wrapText="1"/>
    </xf>
    <xf numFmtId="0" fontId="0" fillId="0" borderId="9" xfId="0" applyBorder="1" applyAlignment="1">
      <alignment horizontal="left"/>
    </xf>
    <xf numFmtId="0" fontId="25" fillId="3" borderId="0" xfId="0" applyFont="1" applyFill="1" applyAlignment="1">
      <alignment horizontal="center" vertical="center" wrapText="1"/>
    </xf>
    <xf numFmtId="0" fontId="19" fillId="0" borderId="11" xfId="543" applyBorder="1" applyAlignment="1">
      <alignment horizontal="center"/>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19" fillId="5" borderId="4" xfId="0" applyFont="1" applyFill="1" applyBorder="1" applyAlignment="1" applyProtection="1">
      <alignment wrapText="1"/>
      <protection locked="0"/>
    </xf>
    <xf numFmtId="172" fontId="26" fillId="0" borderId="11" xfId="0" applyNumberFormat="1" applyFont="1" applyBorder="1" applyAlignment="1">
      <alignment horizontal="center" vertical="center" wrapText="1"/>
    </xf>
    <xf numFmtId="0" fontId="26" fillId="0" borderId="11" xfId="0" applyFont="1" applyBorder="1" applyAlignment="1">
      <alignment horizontal="center" vertical="center" wrapText="1"/>
    </xf>
    <xf numFmtId="0" fontId="19" fillId="43" borderId="4" xfId="0" applyFont="1" applyFill="1" applyBorder="1" applyAlignment="1" applyProtection="1">
      <alignment horizontal="center"/>
      <protection locked="0"/>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68" fontId="0" fillId="0" borderId="11" xfId="0" applyNumberFormat="1" applyBorder="1" applyAlignment="1">
      <alignment horizontal="center"/>
    </xf>
    <xf numFmtId="0" fontId="0" fillId="0" borderId="3" xfId="0" applyBorder="1"/>
    <xf numFmtId="0" fontId="0" fillId="0" borderId="4" xfId="0" applyBorder="1"/>
    <xf numFmtId="0" fontId="0" fillId="0" borderId="5" xfId="0" applyBorder="1"/>
    <xf numFmtId="0" fontId="19" fillId="0" borderId="3" xfId="0" applyFont="1" applyBorder="1"/>
    <xf numFmtId="0" fontId="19" fillId="0" borderId="4" xfId="0" applyFont="1" applyBorder="1"/>
    <xf numFmtId="0" fontId="19" fillId="0" borderId="5" xfId="0" applyFont="1" applyBorder="1"/>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8" fillId="5" borderId="3" xfId="0" applyNumberFormat="1" applyFont="1" applyFill="1" applyBorder="1" applyAlignment="1" applyProtection="1">
      <alignment horizontal="left"/>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26" fillId="0" borderId="2" xfId="0" applyFont="1" applyBorder="1" applyAlignment="1">
      <alignment horizontal="center" wrapText="1"/>
    </xf>
    <xf numFmtId="0" fontId="26" fillId="0" borderId="7" xfId="0" applyFont="1" applyBorder="1" applyAlignment="1">
      <alignment horizontal="center" wrapText="1"/>
    </xf>
    <xf numFmtId="0" fontId="26" fillId="0" borderId="6" xfId="0" applyFont="1" applyBorder="1" applyAlignment="1">
      <alignment horizontal="center" wrapText="1"/>
    </xf>
    <xf numFmtId="0" fontId="26" fillId="0" borderId="10" xfId="0" applyFont="1" applyBorder="1" applyAlignment="1">
      <alignment horizontal="center" wrapText="1"/>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9" fontId="1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5" borderId="5" xfId="0" applyFont="1" applyFill="1" applyBorder="1" applyAlignment="1" applyProtection="1">
      <alignment horizontal="left"/>
      <protection locked="0"/>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12" xfId="0" applyFont="1" applyBorder="1" applyAlignment="1">
      <alignment horizontal="center" wrapText="1"/>
    </xf>
    <xf numFmtId="0" fontId="26" fillId="0" borderId="9" xfId="0" applyFont="1" applyBorder="1" applyAlignment="1">
      <alignment horizontal="center" wrapText="1"/>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168" fontId="19" fillId="0" borderId="11" xfId="543" applyNumberFormat="1" applyBorder="1" applyAlignment="1">
      <alignment horizontal="center"/>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0" borderId="3" xfId="543" applyFont="1" applyBorder="1" applyAlignment="1">
      <alignment horizontal="center"/>
    </xf>
    <xf numFmtId="0" fontId="38" fillId="0" borderId="5" xfId="543" applyFont="1" applyBorder="1" applyAlignment="1">
      <alignment horizontal="center"/>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82" fontId="27" fillId="43" borderId="11" xfId="8721" applyNumberFormat="1" applyFont="1" applyFill="1" applyBorder="1" applyAlignment="1" applyProtection="1">
      <alignment horizontal="center" vertical="center" wrapText="1"/>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166" fontId="19" fillId="5" borderId="6" xfId="0" applyNumberFormat="1" applyFont="1" applyFill="1" applyBorder="1" applyAlignment="1" applyProtection="1">
      <alignment horizontal="left"/>
      <protection locked="0"/>
    </xf>
    <xf numFmtId="0" fontId="26" fillId="0" borderId="9" xfId="0" applyFont="1" applyBorder="1" applyAlignment="1">
      <alignment horizontal="right"/>
    </xf>
    <xf numFmtId="0" fontId="26" fillId="0" borderId="10" xfId="0" applyFont="1" applyBorder="1" applyAlignment="1">
      <alignment horizontal="right"/>
    </xf>
    <xf numFmtId="0" fontId="52"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vertical="top" wrapText="1"/>
    </xf>
    <xf numFmtId="0" fontId="19" fillId="0" borderId="0" xfId="0" applyFont="1" applyAlignment="1">
      <alignment horizontal="center" vertical="top"/>
    </xf>
    <xf numFmtId="168" fontId="28" fillId="0" borderId="6" xfId="0" applyNumberFormat="1" applyFont="1" applyBorder="1" applyAlignment="1">
      <alignment horizontal="center"/>
    </xf>
    <xf numFmtId="180" fontId="0" fillId="0" borderId="6" xfId="0" applyNumberFormat="1" applyBorder="1" applyAlignment="1">
      <alignment horizontal="center"/>
    </xf>
    <xf numFmtId="14" fontId="28" fillId="5" borderId="4" xfId="0" applyNumberFormat="1" applyFont="1" applyFill="1" applyBorder="1" applyAlignment="1" applyProtection="1">
      <alignment horizontal="right"/>
      <protection locked="0"/>
    </xf>
    <xf numFmtId="168" fontId="19"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26" fillId="0" borderId="11" xfId="0" applyFont="1" applyBorder="1" applyAlignment="1">
      <alignment horizontal="center" vertical="center"/>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19"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7"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28" fillId="0" borderId="0" xfId="543" applyFont="1" applyAlignment="1">
      <alignment horizontal="center"/>
    </xf>
    <xf numFmtId="0" fontId="19" fillId="0" borderId="0" xfId="0" applyFont="1" applyAlignment="1">
      <alignment vertical="center" wrapText="1"/>
    </xf>
    <xf numFmtId="0" fontId="19" fillId="0" borderId="0" xfId="543" applyAlignment="1">
      <alignment wrapText="1"/>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48" fillId="0" borderId="0" xfId="0" applyFont="1" applyAlignment="1">
      <alignment horizontal="left" vertical="top" wrapText="1"/>
    </xf>
    <xf numFmtId="0" fontId="20" fillId="0" borderId="0" xfId="244" applyAlignment="1" applyProtection="1">
      <alignment horizontal="left"/>
    </xf>
    <xf numFmtId="0" fontId="115" fillId="0" borderId="0" xfId="0" applyFont="1" applyAlignment="1">
      <alignment horizontal="left" wrapText="1"/>
    </xf>
    <xf numFmtId="0" fontId="28" fillId="0" borderId="0" xfId="0" applyFont="1" applyAlignment="1">
      <alignment horizontal="left" wrapText="1"/>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569" applyAlignment="1">
      <alignment horizontal="left" wrapText="1"/>
    </xf>
    <xf numFmtId="0" fontId="37" fillId="0" borderId="0" xfId="569" applyFont="1" applyAlignment="1">
      <alignment horizontal="center"/>
    </xf>
    <xf numFmtId="0" fontId="26" fillId="0" borderId="0" xfId="569" applyFont="1" applyAlignment="1">
      <alignment horizontal="center"/>
    </xf>
    <xf numFmtId="0" fontId="19" fillId="0" borderId="0" xfId="569" applyAlignment="1">
      <alignment horizontal="left" vertical="top" wrapText="1"/>
    </xf>
    <xf numFmtId="0" fontId="19" fillId="0" borderId="0" xfId="569" applyAlignment="1">
      <alignment horizontal="left"/>
    </xf>
    <xf numFmtId="0" fontId="37" fillId="0" borderId="0" xfId="569" applyFont="1" applyAlignment="1">
      <alignment horizontal="left" vertical="top" wrapText="1"/>
    </xf>
    <xf numFmtId="0" fontId="26" fillId="0" borderId="4" xfId="569" applyFont="1" applyBorder="1" applyAlignment="1">
      <alignment horizontal="left"/>
    </xf>
    <xf numFmtId="4" fontId="19" fillId="0" borderId="0" xfId="1192" applyNumberFormat="1" applyAlignment="1">
      <alignment horizontal="left" vertical="top" wrapText="1"/>
    </xf>
    <xf numFmtId="49" fontId="19" fillId="0" borderId="0" xfId="0" applyNumberFormat="1" applyFont="1" applyAlignment="1">
      <alignment horizontal="left" vertical="top" wrapText="1"/>
    </xf>
    <xf numFmtId="0" fontId="20" fillId="0" borderId="0" xfId="244" applyAlignment="1" applyProtection="1">
      <alignment horizontal="left" vertical="top" wrapText="1"/>
    </xf>
    <xf numFmtId="0" fontId="19" fillId="0" borderId="0" xfId="569" applyAlignment="1">
      <alignment horizontal="left" vertical="top"/>
    </xf>
    <xf numFmtId="0" fontId="26" fillId="0" borderId="4" xfId="569" applyFont="1" applyBorder="1" applyAlignment="1">
      <alignment horizontal="left" vertical="top"/>
    </xf>
    <xf numFmtId="0" fontId="37" fillId="0" borderId="0" xfId="569" applyFont="1" applyAlignment="1">
      <alignment horizontal="left"/>
    </xf>
    <xf numFmtId="4" fontId="19" fillId="0" borderId="0" xfId="569" applyNumberFormat="1" applyAlignment="1">
      <alignment horizontal="left"/>
    </xf>
    <xf numFmtId="4" fontId="19" fillId="0" borderId="0" xfId="569" applyNumberFormat="1" applyAlignment="1">
      <alignment horizontal="left" vertical="top" wrapText="1"/>
    </xf>
    <xf numFmtId="0" fontId="26" fillId="0" borderId="0" xfId="569" applyFont="1" applyAlignment="1">
      <alignment horizontal="left"/>
    </xf>
    <xf numFmtId="0" fontId="37" fillId="0" borderId="0" xfId="1192" applyFont="1" applyAlignment="1">
      <alignment horizontal="left"/>
    </xf>
    <xf numFmtId="0" fontId="19" fillId="0" borderId="0" xfId="1192" applyAlignment="1">
      <alignment horizontal="left"/>
    </xf>
    <xf numFmtId="0" fontId="19" fillId="0" borderId="0" xfId="0" applyFont="1" applyAlignment="1">
      <alignment horizontal="left"/>
    </xf>
    <xf numFmtId="0" fontId="19" fillId="0" borderId="0" xfId="0" applyFont="1" applyAlignment="1">
      <alignment horizontal="left" vertical="top"/>
    </xf>
    <xf numFmtId="0" fontId="26" fillId="0" borderId="0" xfId="0" applyFont="1" applyAlignment="1">
      <alignment horizontal="left" vertical="top"/>
    </xf>
    <xf numFmtId="49" fontId="19" fillId="0" borderId="0" xfId="1192" applyNumberFormat="1" applyAlignment="1">
      <alignment horizontal="left" vertical="top" wrapText="1"/>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0" fontId="19" fillId="0" borderId="0" xfId="569" applyAlignment="1">
      <alignment horizontal="left" vertical="center" wrapText="1"/>
    </xf>
    <xf numFmtId="0" fontId="26" fillId="0" borderId="4" xfId="0" applyFont="1" applyBorder="1" applyAlignment="1">
      <alignment horizontal="left"/>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0" fontId="19" fillId="0" borderId="0" xfId="569" applyAlignment="1">
      <alignment vertical="top" wrapText="1"/>
    </xf>
    <xf numFmtId="0" fontId="37" fillId="0" borderId="0" xfId="0" applyFont="1" applyAlignment="1">
      <alignment horizontal="lef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4" fontId="19" fillId="0" borderId="0" xfId="0" applyNumberFormat="1" applyFont="1" applyAlignment="1">
      <alignment horizontal="left" vertical="top" wrapText="1"/>
    </xf>
    <xf numFmtId="0" fontId="19" fillId="0" borderId="27" xfId="569" applyBorder="1"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37" fillId="0" borderId="0" xfId="0" applyFont="1" applyAlignment="1">
      <alignment horizontal="left"/>
    </xf>
    <xf numFmtId="0" fontId="19" fillId="0" borderId="0" xfId="0" quotePrefix="1" applyFont="1" applyAlignment="1">
      <alignment horizontal="left" vertical="top"/>
    </xf>
    <xf numFmtId="0" fontId="19" fillId="0" borderId="0" xfId="0" quotePrefix="1" applyFont="1" applyAlignment="1">
      <alignment horizontal="left" vertical="top" wrapText="1"/>
    </xf>
    <xf numFmtId="0" fontId="20" fillId="0" borderId="0" xfId="244" quotePrefix="1" applyAlignment="1" applyProtection="1">
      <alignment horizontal="left"/>
    </xf>
    <xf numFmtId="4" fontId="37" fillId="0" borderId="0" xfId="0" applyNumberFormat="1" applyFont="1" applyAlignment="1">
      <alignment horizontal="left"/>
    </xf>
    <xf numFmtId="0" fontId="26" fillId="0" borderId="0" xfId="1192" applyFont="1" applyAlignment="1">
      <alignment horizontal="left" vertical="top" wrapText="1"/>
    </xf>
    <xf numFmtId="0" fontId="19" fillId="0" borderId="0" xfId="0" applyFont="1" applyAlignment="1">
      <alignment horizontal="left" vertical="center" wrapText="1"/>
    </xf>
    <xf numFmtId="0" fontId="20" fillId="0" borderId="0" xfId="244" applyFill="1" applyBorder="1" applyAlignment="1">
      <alignment horizontal="left" vertical="top" wrapText="1"/>
    </xf>
    <xf numFmtId="0" fontId="26" fillId="0" borderId="0" xfId="0" applyFont="1" applyAlignment="1">
      <alignment vertical="top" wrapText="1"/>
    </xf>
    <xf numFmtId="4" fontId="19" fillId="0" borderId="0" xfId="0" applyNumberFormat="1" applyFont="1" applyAlignment="1">
      <alignment horizontal="left"/>
    </xf>
    <xf numFmtId="0" fontId="37" fillId="0" borderId="0" xfId="569" applyFont="1" applyAlignment="1">
      <alignment horizontal="left" vertical="top"/>
    </xf>
    <xf numFmtId="0" fontId="37" fillId="0" borderId="0" xfId="0" applyFont="1" applyAlignment="1">
      <alignment horizontal="left" vertical="top"/>
    </xf>
    <xf numFmtId="0" fontId="28" fillId="0" borderId="2" xfId="0" applyFont="1" applyBorder="1" applyAlignment="1">
      <alignment horizontal="left" vertical="top" wrapText="1"/>
    </xf>
    <xf numFmtId="177" fontId="28" fillId="5" borderId="6" xfId="0" applyNumberFormat="1" applyFont="1" applyFill="1" applyBorder="1" applyAlignment="1" applyProtection="1">
      <alignment horizontal="left" vertical="top" wrapText="1"/>
      <protection locked="0"/>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28" fillId="0" borderId="6" xfId="0" applyFont="1" applyBorder="1" applyAlignment="1">
      <alignment vertical="top" wrapText="1"/>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2" xfId="0" applyFont="1" applyBorder="1" applyAlignment="1">
      <alignment vertical="top" wrapText="1"/>
    </xf>
    <xf numFmtId="0" fontId="55" fillId="0" borderId="0" xfId="0" applyFont="1" applyAlignment="1">
      <alignmen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10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0" xfId="8736" applyFont="1" applyFill="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6"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0" fontId="175" fillId="48" borderId="11"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6" applyFont="1" applyFill="1" applyBorder="1" applyAlignment="1">
      <alignment horizontal="right"/>
    </xf>
    <xf numFmtId="0" fontId="173" fillId="45" borderId="11" xfId="8736"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4" fillId="45" borderId="71" xfId="8736" applyFont="1" applyFill="1" applyBorder="1" applyAlignment="1">
      <alignment horizontal="center"/>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04" fillId="45" borderId="76"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14" fontId="173" fillId="48" borderId="11" xfId="8736" applyNumberFormat="1" applyFont="1" applyFill="1" applyBorder="1" applyAlignment="1" applyProtection="1">
      <alignment horizontal="center"/>
      <protection locked="0"/>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6" fillId="48" borderId="11" xfId="8736" applyFont="1" applyFill="1" applyBorder="1" applyAlignment="1" applyProtection="1">
      <alignment horizontal="left"/>
      <protection locked="0"/>
    </xf>
    <xf numFmtId="14" fontId="175" fillId="48" borderId="11" xfId="8736" applyNumberFormat="1" applyFont="1" applyFill="1" applyBorder="1" applyAlignment="1" applyProtection="1">
      <alignment horizontal="center"/>
      <protection locked="0"/>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167" fillId="45" borderId="67" xfId="8736" applyFont="1" applyFill="1" applyBorder="1" applyAlignment="1">
      <alignment horizontal="center"/>
    </xf>
    <xf numFmtId="0" fontId="166" fillId="45" borderId="11" xfId="8736" applyFont="1" applyFill="1" applyBorder="1" applyAlignment="1">
      <alignment horizontal="center"/>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74" fillId="45" borderId="11" xfId="8736" applyFont="1" applyFill="1" applyBorder="1" applyAlignment="1">
      <alignment horizontal="center"/>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72"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1"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4" fillId="45" borderId="11" xfId="8736" applyFont="1" applyFill="1" applyBorder="1" applyAlignment="1">
      <alignment horizontal="center" wrapText="1"/>
    </xf>
    <xf numFmtId="0" fontId="166" fillId="45" borderId="76" xfId="8736" applyFont="1" applyFill="1" applyBorder="1" applyAlignment="1">
      <alignment horizontal="center"/>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0" fontId="170" fillId="48" borderId="74"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1" fontId="178" fillId="48" borderId="70" xfId="8736" applyNumberFormat="1" applyFont="1" applyFill="1" applyBorder="1" applyAlignment="1" applyProtection="1">
      <alignment horizontal="center"/>
      <protection locked="0"/>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74" fillId="45" borderId="11" xfId="8736" applyFont="1" applyFill="1" applyBorder="1" applyAlignment="1">
      <alignment horizontal="right"/>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68" fontId="175" fillId="44" borderId="11" xfId="8737" applyNumberFormat="1" applyFont="1" applyFill="1" applyBorder="1" applyAlignment="1" applyProtection="1">
      <alignment horizontal="left"/>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5" xfId="8736" applyFont="1" applyFill="1" applyBorder="1" applyAlignment="1">
      <alignment horizont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168" fontId="19" fillId="0" borderId="5" xfId="569" applyNumberFormat="1" applyBorder="1" applyAlignment="1">
      <alignment horizontal="center"/>
    </xf>
    <xf numFmtId="168" fontId="19" fillId="0" borderId="11" xfId="569" applyNumberFormat="1" applyBorder="1" applyAlignment="1">
      <alignment horizontal="center"/>
    </xf>
    <xf numFmtId="168" fontId="19" fillId="0" borderId="3" xfId="569" applyNumberFormat="1" applyBorder="1" applyAlignment="1">
      <alignment horizontal="center"/>
    </xf>
    <xf numFmtId="168" fontId="19" fillId="0" borderId="4" xfId="569" applyNumberFormat="1" applyBorder="1" applyAlignment="1">
      <alignment horizontal="center"/>
    </xf>
    <xf numFmtId="179" fontId="26" fillId="0" borderId="0" xfId="569" applyNumberFormat="1" applyFont="1" applyAlignment="1">
      <alignment horizontal="center" wrapText="1"/>
    </xf>
    <xf numFmtId="0" fontId="26" fillId="0" borderId="16" xfId="271" applyFont="1" applyBorder="1" applyAlignment="1">
      <alignment horizontal="center"/>
    </xf>
    <xf numFmtId="164" fontId="26" fillId="0" borderId="0" xfId="569" applyNumberFormat="1" applyFont="1" applyAlignment="1">
      <alignment horizontal="center"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55" fillId="0" borderId="0" xfId="569" applyFont="1" applyAlignment="1">
      <alignment horizontal="left"/>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9" fontId="19" fillId="0" borderId="5" xfId="569" applyNumberFormat="1" applyBorder="1" applyAlignment="1">
      <alignment horizontal="center"/>
    </xf>
    <xf numFmtId="9" fontId="19" fillId="0" borderId="11"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0" fontId="26" fillId="0" borderId="11" xfId="569" applyFont="1" applyBorder="1" applyAlignment="1">
      <alignment horizontal="center" wrapText="1"/>
    </xf>
    <xf numFmtId="168" fontId="19" fillId="0" borderId="7" xfId="569" applyNumberFormat="1" applyBorder="1" applyAlignment="1">
      <alignment horizontal="center"/>
    </xf>
    <xf numFmtId="168" fontId="19" fillId="0" borderId="15" xfId="569" applyNumberFormat="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0" borderId="11" xfId="569" applyNumberFormat="1" applyBorder="1" applyAlignment="1">
      <alignment horizontal="right"/>
    </xf>
    <xf numFmtId="0" fontId="26" fillId="0" borderId="6" xfId="569" applyFon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569" applyFont="1" applyAlignment="1">
      <alignment horizontal="left"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9" fontId="19" fillId="0" borderId="15" xfId="569" applyNumberFormat="1" applyBorder="1" applyAlignment="1">
      <alignment horizontal="center"/>
    </xf>
    <xf numFmtId="0" fontId="19" fillId="0" borderId="11" xfId="569" applyBorder="1" applyAlignment="1">
      <alignment horizontal="center"/>
    </xf>
    <xf numFmtId="0" fontId="109" fillId="0" borderId="0" xfId="0" applyFont="1" applyAlignment="1">
      <alignment horizontal="left" vertical="top" wrapText="1"/>
    </xf>
    <xf numFmtId="0" fontId="19" fillId="0" borderId="0" xfId="4495" applyFont="1" applyAlignment="1">
      <alignment horizontal="left" vertical="top" wrapText="1"/>
    </xf>
    <xf numFmtId="0" fontId="26" fillId="0" borderId="0" xfId="4495" applyFont="1" applyAlignment="1">
      <alignment horizontal="center" vertical="top"/>
    </xf>
    <xf numFmtId="0" fontId="19" fillId="5" borderId="6" xfId="4495" applyFont="1" applyFill="1" applyBorder="1" applyAlignment="1" applyProtection="1">
      <alignment horizontal="center" vertical="center" wrapText="1" shrinkToFit="1"/>
      <protection locked="0"/>
    </xf>
    <xf numFmtId="0" fontId="19" fillId="0" borderId="3" xfId="4495" applyFont="1" applyBorder="1" applyAlignment="1">
      <alignment horizontal="center"/>
    </xf>
    <xf numFmtId="0" fontId="19" fillId="0" borderId="5" xfId="4495" applyFont="1" applyBorder="1" applyAlignment="1">
      <alignment horizontal="center"/>
    </xf>
    <xf numFmtId="0" fontId="26" fillId="0" borderId="0" xfId="4495" applyFont="1" applyAlignment="1">
      <alignment horizontal="left" wrapText="1"/>
    </xf>
    <xf numFmtId="0" fontId="19" fillId="0" borderId="0" xfId="4495" applyFont="1" applyAlignment="1">
      <alignment wrapText="1"/>
    </xf>
    <xf numFmtId="0" fontId="19" fillId="0" borderId="0" xfId="4495" applyFont="1" applyAlignment="1">
      <alignment horizontal="left"/>
    </xf>
    <xf numFmtId="0" fontId="19" fillId="5" borderId="6" xfId="4495" applyFont="1" applyFill="1" applyBorder="1" applyAlignment="1" applyProtection="1">
      <alignment horizontal="center"/>
      <protection locked="0"/>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0" xfId="1192" applyNumberFormat="1" applyAlignment="1">
      <alignment horizontal="right"/>
    </xf>
    <xf numFmtId="168" fontId="19" fillId="0" borderId="6" xfId="1192" applyNumberFormat="1" applyBorder="1" applyAlignment="1">
      <alignment horizontal="right"/>
    </xf>
    <xf numFmtId="168" fontId="19" fillId="43" borderId="6" xfId="543" applyNumberFormat="1" applyFill="1" applyBorder="1" applyAlignment="1" applyProtection="1">
      <alignment horizontal="center"/>
      <protection locked="0"/>
    </xf>
    <xf numFmtId="168" fontId="19" fillId="0" borderId="4" xfId="1192" applyNumberFormat="1" applyBorder="1" applyAlignment="1">
      <alignment horizontal="right"/>
    </xf>
    <xf numFmtId="0" fontId="122" fillId="5" borderId="6" xfId="4495" applyFill="1" applyBorder="1" applyAlignment="1" applyProtection="1">
      <alignment horizontal="center"/>
      <protection locked="0"/>
    </xf>
    <xf numFmtId="0" fontId="120" fillId="0" borderId="4" xfId="1192" applyFont="1" applyBorder="1" applyAlignment="1">
      <alignment horizontal="left"/>
    </xf>
    <xf numFmtId="0" fontId="143" fillId="0" borderId="6" xfId="1192" applyFont="1" applyBorder="1" applyAlignment="1">
      <alignment horizontal="center"/>
    </xf>
    <xf numFmtId="0" fontId="122" fillId="5" borderId="50" xfId="4495" applyFill="1" applyBorder="1" applyAlignment="1">
      <alignment horizontal="center"/>
    </xf>
    <xf numFmtId="0" fontId="122" fillId="5" borderId="51" xfId="4495" applyFill="1" applyBorder="1" applyAlignment="1">
      <alignment horizontal="center"/>
    </xf>
    <xf numFmtId="0" fontId="122" fillId="0" borderId="0" xfId="4495" applyAlignment="1">
      <alignment horizontal="center"/>
    </xf>
    <xf numFmtId="0" fontId="122" fillId="5" borderId="62" xfId="4495" applyFill="1" applyBorder="1" applyAlignment="1">
      <alignment horizontal="center"/>
    </xf>
    <xf numFmtId="0" fontId="122" fillId="5" borderId="63" xfId="4495" applyFill="1" applyBorder="1" applyAlignment="1">
      <alignment horizontal="center"/>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168" fontId="19" fillId="5" borderId="4" xfId="1192" applyNumberFormat="1" applyFill="1" applyBorder="1" applyAlignment="1" applyProtection="1">
      <alignment horizontal="center"/>
      <protection locked="0"/>
    </xf>
    <xf numFmtId="4" fontId="27" fillId="0" borderId="6" xfId="4495" applyNumberFormat="1" applyFont="1" applyBorder="1" applyAlignment="1">
      <alignment horizontal="center"/>
    </xf>
    <xf numFmtId="1" fontId="19" fillId="5" borderId="2" xfId="1192" applyNumberFormat="1" applyFill="1" applyBorder="1" applyAlignment="1" applyProtection="1">
      <alignment horizontal="center"/>
      <protection locked="0"/>
    </xf>
    <xf numFmtId="4" fontId="27" fillId="0" borderId="0" xfId="4495" applyNumberFormat="1" applyFont="1" applyAlignment="1">
      <alignment horizontal="center"/>
    </xf>
    <xf numFmtId="0" fontId="19" fillId="0" borderId="53" xfId="4495" applyFont="1" applyBorder="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168" fontId="19" fillId="0" borderId="6" xfId="4496" applyNumberFormat="1" applyFont="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0" fontId="19" fillId="0" borderId="4" xfId="4495" applyFont="1" applyBorder="1" applyAlignment="1">
      <alignment horizontal="center"/>
    </xf>
    <xf numFmtId="0" fontId="27" fillId="0" borderId="51" xfId="4495" applyFont="1" applyBorder="1" applyAlignment="1">
      <alignment horizontal="left" vertical="top" wrapText="1"/>
    </xf>
    <xf numFmtId="0" fontId="27" fillId="0" borderId="0" xfId="4495" applyFont="1" applyAlignment="1">
      <alignment horizontal="left" vertical="top" wrapText="1"/>
    </xf>
    <xf numFmtId="0" fontId="27" fillId="0" borderId="58" xfId="4495" applyFont="1" applyBorder="1" applyAlignment="1">
      <alignment horizontal="left" vertical="top" wrapText="1"/>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9" fontId="27" fillId="5" borderId="6" xfId="4495" applyNumberFormat="1" applyFont="1" applyFill="1" applyBorder="1" applyAlignment="1">
      <alignment horizontal="left"/>
    </xf>
    <xf numFmtId="0" fontId="27" fillId="5" borderId="6" xfId="4495" applyFont="1" applyFill="1" applyBorder="1" applyAlignment="1">
      <alignment horizontal="left"/>
    </xf>
    <xf numFmtId="0" fontId="26" fillId="0" borderId="0" xfId="4495" applyFont="1" applyAlignment="1">
      <alignment horizontal="right"/>
    </xf>
    <xf numFmtId="0" fontId="55" fillId="0" borderId="51" xfId="4495" applyFont="1" applyBorder="1" applyAlignment="1">
      <alignment horizontal="left" wrapText="1"/>
    </xf>
    <xf numFmtId="0" fontId="55" fillId="0" borderId="0" xfId="4495" applyFont="1" applyAlignment="1">
      <alignment horizontal="left"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27" fillId="0" borderId="2" xfId="4495" applyNumberFormat="1" applyFont="1" applyBorder="1" applyAlignment="1">
      <alignment horizontal="center"/>
    </xf>
    <xf numFmtId="0" fontId="27" fillId="0" borderId="0" xfId="4495" applyFont="1" applyAlignment="1">
      <alignment horizontal="center"/>
    </xf>
    <xf numFmtId="0" fontId="131" fillId="0" borderId="0" xfId="4495" applyFont="1" applyAlignment="1">
      <alignment horizontal="left" vertical="top" wrapText="1"/>
    </xf>
    <xf numFmtId="0" fontId="35" fillId="42" borderId="2" xfId="4495" applyFont="1" applyFill="1" applyBorder="1" applyAlignment="1">
      <alignment horizontal="center"/>
    </xf>
    <xf numFmtId="0" fontId="35" fillId="42" borderId="6" xfId="4495" applyFont="1" applyFill="1" applyBorder="1" applyAlignment="1">
      <alignment horizontal="center"/>
    </xf>
    <xf numFmtId="0" fontId="26" fillId="0" borderId="11" xfId="4495" applyFont="1" applyBorder="1" applyAlignment="1">
      <alignment horizontal="center"/>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6" fillId="0" borderId="51" xfId="4495" applyFont="1" applyBorder="1" applyAlignment="1">
      <alignment horizontal="center" vertical="top"/>
    </xf>
    <xf numFmtId="0" fontId="26" fillId="0" borderId="52" xfId="4495" applyFont="1" applyBorder="1" applyAlignment="1">
      <alignment horizontal="center" vertical="top"/>
    </xf>
    <xf numFmtId="0" fontId="19" fillId="0" borderId="6" xfId="1192" applyBorder="1" applyAlignment="1">
      <alignment horizontal="right"/>
    </xf>
    <xf numFmtId="9" fontId="19" fillId="5" borderId="4" xfId="1192" applyNumberFormat="1" applyFill="1" applyBorder="1" applyAlignment="1" applyProtection="1">
      <alignment horizontal="left"/>
      <protection locked="0"/>
    </xf>
    <xf numFmtId="0" fontId="26" fillId="0" borderId="54" xfId="4495" applyFont="1" applyBorder="1" applyAlignment="1">
      <alignment horizontal="center" vertical="top"/>
    </xf>
    <xf numFmtId="0" fontId="122" fillId="0" borderId="53" xfId="4495" applyBorder="1"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11" xfId="4495" applyNumberFormat="1" applyFont="1" applyBorder="1" applyAlignment="1">
      <alignment horizontal="center"/>
    </xf>
    <xf numFmtId="0" fontId="26" fillId="0" borderId="3" xfId="4495"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1" fontId="19" fillId="46" borderId="11" xfId="4495" applyNumberFormat="1" applyFont="1" applyFill="1" applyBorder="1" applyAlignment="1">
      <alignment horizontal="center"/>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0" fontId="19" fillId="5" borderId="11" xfId="4495" applyFont="1" applyFill="1" applyBorder="1" applyAlignment="1" applyProtection="1">
      <alignment horizontal="center"/>
      <protection locked="0"/>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1" fontId="26" fillId="0" borderId="4" xfId="4495" applyNumberFormat="1"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0" xfId="4495" applyFont="1" applyAlignment="1">
      <alignment horizontal="left" vertical="top"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5" borderId="6" xfId="1192" applyFill="1" applyBorder="1" applyAlignment="1" applyProtection="1">
      <alignment horizontal="left"/>
      <protection locked="0"/>
    </xf>
    <xf numFmtId="165" fontId="19" fillId="0" borderId="0" xfId="1192" applyNumberFormat="1" applyAlignment="1">
      <alignment horizontal="right"/>
    </xf>
    <xf numFmtId="0" fontId="19" fillId="0" borderId="59" xfId="4495" applyFont="1" applyBorder="1" applyAlignment="1">
      <alignment horizontal="left" vertical="top" wrapText="1"/>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0" fontId="19" fillId="0" borderId="6" xfId="1192" applyBorder="1" applyAlignment="1">
      <alignment horizontal="left"/>
    </xf>
    <xf numFmtId="2" fontId="19" fillId="0" borderId="0" xfId="1192" applyNumberFormat="1" applyAlignment="1">
      <alignment horizontal="right"/>
    </xf>
    <xf numFmtId="0" fontId="26" fillId="0" borderId="0" xfId="4495" applyFont="1" applyAlignment="1">
      <alignment horizontal="left" vertical="top"/>
    </xf>
    <xf numFmtId="0" fontId="122" fillId="0" borderId="0" xfId="4495" applyAlignment="1" applyProtection="1">
      <alignment horizontal="center"/>
      <protection locked="0"/>
    </xf>
    <xf numFmtId="9" fontId="19" fillId="0" borderId="4" xfId="543" applyNumberForma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168" fontId="19" fillId="43" borderId="6" xfId="4495" applyNumberFormat="1" applyFont="1" applyFill="1" applyBorder="1" applyAlignment="1" applyProtection="1">
      <alignment horizontal="right"/>
      <protection locked="0"/>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27"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44" borderId="6" xfId="4495" applyFont="1" applyFill="1" applyBorder="1" applyAlignment="1">
      <alignment horizontal="left"/>
    </xf>
    <xf numFmtId="0" fontId="19" fillId="0" borderId="0" xfId="1192" applyAlignment="1">
      <alignment horizontal="right"/>
    </xf>
    <xf numFmtId="0" fontId="124" fillId="5" borderId="6" xfId="4496" applyFont="1" applyFill="1" applyBorder="1" applyAlignment="1" applyProtection="1">
      <alignment horizontal="center"/>
      <protection locked="0"/>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1" fontId="19" fillId="5" borderId="4" xfId="1192" applyNumberFormat="1" applyFill="1" applyBorder="1" applyAlignment="1" applyProtection="1">
      <alignment horizontal="center"/>
      <protection locked="0"/>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168" fontId="124" fillId="0" borderId="6" xfId="4496" applyNumberFormat="1" applyFont="1" applyBorder="1" applyAlignment="1">
      <alignment horizontal="center" vertical="top"/>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165" fontId="124" fillId="0" borderId="60"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0" fontId="100" fillId="0" borderId="0" xfId="4496" applyFont="1" applyAlignment="1">
      <alignment wrapText="1"/>
    </xf>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18060">
    <cellStyle name="20% - Accent1" xfId="1" builtinId="30" customBuiltin="1"/>
    <cellStyle name="20% - Accent1 10" xfId="4504" xr:uid="{00000000-0005-0000-0000-000001000000}"/>
    <cellStyle name="20% - Accent1 10 2" xfId="13830" xr:uid="{78B9B02B-830F-49EB-AFC3-2A72971E5DD2}"/>
    <cellStyle name="20% - Accent1 11" xfId="8758" xr:uid="{2F735C8D-70CB-4E84-A95A-4445894745BC}"/>
    <cellStyle name="20% - Accent1 12" xfId="9613" xr:uid="{4B36792A-7226-4259-865E-0B6A50865B98}"/>
    <cellStyle name="20% - Accent1 2" xfId="2" xr:uid="{00000000-0005-0000-0000-000002000000}"/>
    <cellStyle name="20% - Accent1 2 10" xfId="8797" xr:uid="{7F4BEAE6-CC35-4B07-89BD-8FC5D6B3D35B}"/>
    <cellStyle name="20% - Accent1 2 11" xfId="9614" xr:uid="{839C9554-879F-4C7C-85FB-3E775B72BCFF}"/>
    <cellStyle name="20% - Accent1 2 2" xfId="3" xr:uid="{00000000-0005-0000-0000-000003000000}"/>
    <cellStyle name="20% - Accent1 2 2 10" xfId="9615" xr:uid="{24328D45-7F3B-4B1A-B1A7-FE33C7669632}"/>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37631B0D-1DA4-4A60-AF27-0AECDB0AC7BC}"/>
    <cellStyle name="20% - Accent1 2 2 2 2 2 3" xfId="12175" xr:uid="{68EDAF79-2E03-4103-BD78-23A17D8892B9}"/>
    <cellStyle name="20% - Accent1 2 2 2 2 3" xfId="4921" xr:uid="{00000000-0005-0000-0000-000008000000}"/>
    <cellStyle name="20% - Accent1 2 2 2 2 3 2" xfId="14247" xr:uid="{3B376554-4493-4908-AC99-75122AD266AC}"/>
    <cellStyle name="20% - Accent1 2 2 2 2 4" xfId="9532" xr:uid="{D5FAB462-C5A9-4306-AA37-C118C84F9393}"/>
    <cellStyle name="20% - Accent1 2 2 2 2 5" xfId="10030" xr:uid="{1FD7DDA5-0070-4BDD-8D51-532227583498}"/>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4F9A5504-4F54-4022-902F-7275673AAC3C}"/>
    <cellStyle name="20% - Accent1 2 2 2 3 2 3" xfId="12588" xr:uid="{A90BCA1E-D98D-4689-8B4B-4B3BBB328702}"/>
    <cellStyle name="20% - Accent1 2 2 2 3 3" xfId="5334" xr:uid="{00000000-0005-0000-0000-00000C000000}"/>
    <cellStyle name="20% - Accent1 2 2 2 3 3 2" xfId="14660" xr:uid="{CABFDC99-DFF5-4552-B7DE-7B14423EF4F0}"/>
    <cellStyle name="20% - Accent1 2 2 2 3 4" xfId="10443" xr:uid="{EB577C29-FDEE-40CC-9492-DA4F641D78A4}"/>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ED3D02A3-465A-4FB5-9E9A-99EDD98BB8E6}"/>
    <cellStyle name="20% - Accent1 2 2 2 4 2 3" xfId="13001" xr:uid="{FD3B5375-5027-48DC-80C2-BB76FF20C69D}"/>
    <cellStyle name="20% - Accent1 2 2 2 4 3" xfId="5747" xr:uid="{00000000-0005-0000-0000-000010000000}"/>
    <cellStyle name="20% - Accent1 2 2 2 4 3 2" xfId="15073" xr:uid="{DF2E43CF-34E2-4415-AF19-89F22C16834A}"/>
    <cellStyle name="20% - Accent1 2 2 2 4 4" xfId="10856" xr:uid="{410451B1-53AF-4D48-B167-7B8E90612E4F}"/>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73CA6325-FFFB-4260-A020-DCCBA9B28119}"/>
    <cellStyle name="20% - Accent1 2 2 2 5 2 3" xfId="13414" xr:uid="{D5F500F4-EA50-4080-98F0-25144BA608A2}"/>
    <cellStyle name="20% - Accent1 2 2 2 5 3" xfId="6160" xr:uid="{00000000-0005-0000-0000-000014000000}"/>
    <cellStyle name="20% - Accent1 2 2 2 5 3 2" xfId="15486" xr:uid="{967BBB76-F973-4178-9735-A561346676AF}"/>
    <cellStyle name="20% - Accent1 2 2 2 5 4" xfId="11269" xr:uid="{2C79799F-CC7D-4F58-BD61-6BBABBD507AC}"/>
    <cellStyle name="20% - Accent1 2 2 2 6" xfId="2267" xr:uid="{00000000-0005-0000-0000-000015000000}"/>
    <cellStyle name="20% - Accent1 2 2 2 6 2" xfId="6573" xr:uid="{00000000-0005-0000-0000-000016000000}"/>
    <cellStyle name="20% - Accent1 2 2 2 6 2 2" xfId="15899" xr:uid="{0A53FFA3-C235-461B-A7A0-F9274D1B80C3}"/>
    <cellStyle name="20% - Accent1 2 2 2 6 3" xfId="11682" xr:uid="{187973CA-74F5-444D-8E81-96BD83D1E0F0}"/>
    <cellStyle name="20% - Accent1 2 2 2 7" xfId="4507" xr:uid="{00000000-0005-0000-0000-000017000000}"/>
    <cellStyle name="20% - Accent1 2 2 2 7 2" xfId="13833" xr:uid="{6CBAE6F0-490D-4497-8FCC-07E8BEF19AF8}"/>
    <cellStyle name="20% - Accent1 2 2 2 8" xfId="9107" xr:uid="{4168D01E-823F-4E8F-9A1D-70697AC1F241}"/>
    <cellStyle name="20% - Accent1 2 2 2 9" xfId="9616" xr:uid="{9EEA1DE8-4F82-47C6-917D-2A40D77FABC2}"/>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FE1A2AC8-6FC7-4F39-85E0-48C65B375C4D}"/>
    <cellStyle name="20% - Accent1 2 2 3 2 3" xfId="12174" xr:uid="{BA2B8D37-F882-42AB-97E8-73DA70662E98}"/>
    <cellStyle name="20% - Accent1 2 2 3 3" xfId="4920" xr:uid="{00000000-0005-0000-0000-00001B000000}"/>
    <cellStyle name="20% - Accent1 2 2 3 3 2" xfId="14246" xr:uid="{75259FBC-9829-43A7-8CE6-123CD8BFCF2A}"/>
    <cellStyle name="20% - Accent1 2 2 3 4" xfId="9325" xr:uid="{DE19910B-698B-4F31-B25F-3533B35DDA95}"/>
    <cellStyle name="20% - Accent1 2 2 3 5" xfId="10029" xr:uid="{7E1E1EDD-3A42-4480-BF60-F50025846EB8}"/>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0DAC337A-0A01-403C-8972-B954A495BC28}"/>
    <cellStyle name="20% - Accent1 2 2 4 2 3" xfId="12587" xr:uid="{0E0E72B5-E76D-493E-B0CC-BE58874D3578}"/>
    <cellStyle name="20% - Accent1 2 2 4 3" xfId="5333" xr:uid="{00000000-0005-0000-0000-00001F000000}"/>
    <cellStyle name="20% - Accent1 2 2 4 3 2" xfId="14659" xr:uid="{2FE019A2-370D-4BA9-A799-1FD25FAF681D}"/>
    <cellStyle name="20% - Accent1 2 2 4 4" xfId="10442" xr:uid="{9AF90055-76DA-4E29-8801-41B51653EE27}"/>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AC780705-4988-40A3-ACE3-F2686C008634}"/>
    <cellStyle name="20% - Accent1 2 2 5 2 3" xfId="13000" xr:uid="{C711653E-4AAE-4E46-826D-6E323DA2AE9F}"/>
    <cellStyle name="20% - Accent1 2 2 5 3" xfId="5746" xr:uid="{00000000-0005-0000-0000-000023000000}"/>
    <cellStyle name="20% - Accent1 2 2 5 3 2" xfId="15072" xr:uid="{C70DA9C5-B5EA-48BC-91C2-F9AEFF268EA4}"/>
    <cellStyle name="20% - Accent1 2 2 5 4" xfId="10855" xr:uid="{696F6D9C-A330-4766-A267-2F0FE30F2ED4}"/>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F52F084E-3A03-4CDC-8BAD-2CB13FF225EA}"/>
    <cellStyle name="20% - Accent1 2 2 6 2 3" xfId="13413" xr:uid="{F60A670B-2768-4D5C-9444-CDE0EFB41EC3}"/>
    <cellStyle name="20% - Accent1 2 2 6 3" xfId="6159" xr:uid="{00000000-0005-0000-0000-000027000000}"/>
    <cellStyle name="20% - Accent1 2 2 6 3 2" xfId="15485" xr:uid="{D023DBE4-7086-4BD5-8FE0-863D9571B283}"/>
    <cellStyle name="20% - Accent1 2 2 6 4" xfId="11268" xr:uid="{0190FD26-85CB-43F4-A9AA-0A1A9EBD826C}"/>
    <cellStyle name="20% - Accent1 2 2 7" xfId="2266" xr:uid="{00000000-0005-0000-0000-000028000000}"/>
    <cellStyle name="20% - Accent1 2 2 7 2" xfId="6572" xr:uid="{00000000-0005-0000-0000-000029000000}"/>
    <cellStyle name="20% - Accent1 2 2 7 2 2" xfId="15898" xr:uid="{A5A44ED5-1327-486B-AD8A-653330BB3581}"/>
    <cellStyle name="20% - Accent1 2 2 7 3" xfId="11681" xr:uid="{D6F33BC6-D281-4350-ADE8-0ABE2CFF28A1}"/>
    <cellStyle name="20% - Accent1 2 2 8" xfId="4506" xr:uid="{00000000-0005-0000-0000-00002A000000}"/>
    <cellStyle name="20% - Accent1 2 2 8 2" xfId="13832" xr:uid="{09E9A910-9E1D-4D83-950F-8179C8A1BD5B}"/>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40FC23EF-C5F1-4D5A-8DE7-E54E584E7F1E}"/>
    <cellStyle name="20% - Accent1 2 3 2 2 3" xfId="12176" xr:uid="{E7037477-2F12-49FD-B67A-EC5DB0DA52E9}"/>
    <cellStyle name="20% - Accent1 2 3 2 3" xfId="4922" xr:uid="{00000000-0005-0000-0000-00002F000000}"/>
    <cellStyle name="20% - Accent1 2 3 2 3 2" xfId="14248" xr:uid="{C1FE2EE5-8D91-4179-8E34-70F4FE1B9AAB}"/>
    <cellStyle name="20% - Accent1 2 3 2 4" xfId="9429" xr:uid="{CCD4BD61-3143-497B-A316-8024A8762A6C}"/>
    <cellStyle name="20% - Accent1 2 3 2 5" xfId="10031" xr:uid="{FA879727-031F-446C-B62D-6EF47D52BD83}"/>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6D04A960-AC34-4BFB-95AF-D730B35A80D0}"/>
    <cellStyle name="20% - Accent1 2 3 3 2 3" xfId="12589" xr:uid="{C7FCF0FD-2496-49A4-8B73-5B42249CB8F6}"/>
    <cellStyle name="20% - Accent1 2 3 3 3" xfId="5335" xr:uid="{00000000-0005-0000-0000-000033000000}"/>
    <cellStyle name="20% - Accent1 2 3 3 3 2" xfId="14661" xr:uid="{A8D327BB-159D-42C5-9A74-560D0ECA6D23}"/>
    <cellStyle name="20% - Accent1 2 3 3 4" xfId="10444" xr:uid="{A45DDCCE-5788-4392-96A0-5AABD0784DD2}"/>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7C991A83-1BBE-4E5E-955C-1C6B831EA68C}"/>
    <cellStyle name="20% - Accent1 2 3 4 2 3" xfId="13002" xr:uid="{6735DAAE-D59F-4A08-A547-A86C831E64EC}"/>
    <cellStyle name="20% - Accent1 2 3 4 3" xfId="5748" xr:uid="{00000000-0005-0000-0000-000037000000}"/>
    <cellStyle name="20% - Accent1 2 3 4 3 2" xfId="15074" xr:uid="{20FAFD42-43BD-4F91-B26C-22D1665DACE0}"/>
    <cellStyle name="20% - Accent1 2 3 4 4" xfId="10857" xr:uid="{C5FA7D84-490D-4420-ACE1-C7951AD8CC93}"/>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97AB52AA-B4E8-486E-84E5-6113CC2506AA}"/>
    <cellStyle name="20% - Accent1 2 3 5 2 3" xfId="13415" xr:uid="{440810EB-6144-4C96-9866-76214F9BCB32}"/>
    <cellStyle name="20% - Accent1 2 3 5 3" xfId="6161" xr:uid="{00000000-0005-0000-0000-00003B000000}"/>
    <cellStyle name="20% - Accent1 2 3 5 3 2" xfId="15487" xr:uid="{3D75F04C-6483-4EE3-9481-1F93036458FB}"/>
    <cellStyle name="20% - Accent1 2 3 5 4" xfId="11270" xr:uid="{8C0F78BB-D458-4B02-8139-97EE741629C8}"/>
    <cellStyle name="20% - Accent1 2 3 6" xfId="2268" xr:uid="{00000000-0005-0000-0000-00003C000000}"/>
    <cellStyle name="20% - Accent1 2 3 6 2" xfId="6574" xr:uid="{00000000-0005-0000-0000-00003D000000}"/>
    <cellStyle name="20% - Accent1 2 3 6 2 2" xfId="15900" xr:uid="{F623B076-61B9-4E34-808F-A96EEC36BF2A}"/>
    <cellStyle name="20% - Accent1 2 3 6 3" xfId="11683" xr:uid="{01B0E600-F333-4E37-BE35-A2B14E38383D}"/>
    <cellStyle name="20% - Accent1 2 3 7" xfId="4508" xr:uid="{00000000-0005-0000-0000-00003E000000}"/>
    <cellStyle name="20% - Accent1 2 3 7 2" xfId="13834" xr:uid="{62A3E351-2C22-483A-B4FD-33059DDF5BB9}"/>
    <cellStyle name="20% - Accent1 2 3 8" xfId="9004" xr:uid="{14A9C135-BB7B-44DD-97E1-B6B10773DEE2}"/>
    <cellStyle name="20% - Accent1 2 3 9" xfId="9617" xr:uid="{CF4EA153-B613-419F-AC66-A0BEBFCD2428}"/>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75EA92FC-1F28-4CD9-8D4A-816E60A9B6D9}"/>
    <cellStyle name="20% - Accent1 2 4 2 3" xfId="12173" xr:uid="{288B1172-D6E8-411F-94D7-FF10633B8F7B}"/>
    <cellStyle name="20% - Accent1 2 4 3" xfId="4919" xr:uid="{00000000-0005-0000-0000-000042000000}"/>
    <cellStyle name="20% - Accent1 2 4 3 2" xfId="14245" xr:uid="{82949A94-AD8A-40E0-9E74-BDDBC2A45720}"/>
    <cellStyle name="20% - Accent1 2 4 4" xfId="9221" xr:uid="{11532E3F-E59C-4FF7-9F45-291A17A69435}"/>
    <cellStyle name="20% - Accent1 2 4 5" xfId="10028" xr:uid="{55255129-6E1F-4A60-AE47-0628E51AD7CF}"/>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F857CA6A-25AA-496B-B122-9877A983A7DA}"/>
    <cellStyle name="20% - Accent1 2 5 2 3" xfId="12586" xr:uid="{5298641D-1131-4A4B-BE79-FD755D90BB16}"/>
    <cellStyle name="20% - Accent1 2 5 3" xfId="5332" xr:uid="{00000000-0005-0000-0000-000046000000}"/>
    <cellStyle name="20% - Accent1 2 5 3 2" xfId="14658" xr:uid="{593F276C-FAF3-45B3-A58B-44D9068F3C88}"/>
    <cellStyle name="20% - Accent1 2 5 4" xfId="10441" xr:uid="{8F8B0656-95C2-46AA-A1B2-EC24B6D3D687}"/>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6C0E6DE0-CDF6-4F60-953C-ADA34ED45CAA}"/>
    <cellStyle name="20% - Accent1 2 6 2 3" xfId="12999" xr:uid="{B6FD12A4-95F1-418A-A28A-077FB9D524A0}"/>
    <cellStyle name="20% - Accent1 2 6 3" xfId="5745" xr:uid="{00000000-0005-0000-0000-00004A000000}"/>
    <cellStyle name="20% - Accent1 2 6 3 2" xfId="15071" xr:uid="{9029BEB6-113D-457A-B11F-EDD694672931}"/>
    <cellStyle name="20% - Accent1 2 6 4" xfId="10854" xr:uid="{36EF2C05-3DB2-410C-AE72-E2936F58AA21}"/>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EE9559E6-F451-43DD-8F57-A3F4E3B15739}"/>
    <cellStyle name="20% - Accent1 2 7 2 3" xfId="13412" xr:uid="{A0B5A94B-E957-4033-8936-ADA2D92EE19E}"/>
    <cellStyle name="20% - Accent1 2 7 3" xfId="6158" xr:uid="{00000000-0005-0000-0000-00004E000000}"/>
    <cellStyle name="20% - Accent1 2 7 3 2" xfId="15484" xr:uid="{7F27804C-1702-4257-AAB6-BA163C747F52}"/>
    <cellStyle name="20% - Accent1 2 7 4" xfId="11267" xr:uid="{CE480DDC-B898-49B0-B699-AB9F88A2F358}"/>
    <cellStyle name="20% - Accent1 2 8" xfId="2265" xr:uid="{00000000-0005-0000-0000-00004F000000}"/>
    <cellStyle name="20% - Accent1 2 8 2" xfId="6571" xr:uid="{00000000-0005-0000-0000-000050000000}"/>
    <cellStyle name="20% - Accent1 2 8 2 2" xfId="15897" xr:uid="{3F886532-BFE2-41FF-BB6B-9E901BB4E05A}"/>
    <cellStyle name="20% - Accent1 2 8 3" xfId="11680" xr:uid="{D371EA80-39E5-413D-BDA5-937D349F6A2E}"/>
    <cellStyle name="20% - Accent1 2 9" xfId="4505" xr:uid="{00000000-0005-0000-0000-000051000000}"/>
    <cellStyle name="20% - Accent1 2 9 2" xfId="13831" xr:uid="{0CF5E7BF-0EE2-45AB-B60E-84C9D9697D86}"/>
    <cellStyle name="20% - Accent1 3" xfId="6" xr:uid="{00000000-0005-0000-0000-000052000000}"/>
    <cellStyle name="20% - Accent1 3 10" xfId="9618" xr:uid="{F19B2208-0ADF-4DD9-842A-086D3946C481}"/>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E28482C1-9FC3-4B16-8C61-13B7B3E0F7DF}"/>
    <cellStyle name="20% - Accent1 3 2 2 2 3" xfId="12178" xr:uid="{2D3F3A76-17EF-490A-89F1-1A0066F0AD8E}"/>
    <cellStyle name="20% - Accent1 3 2 2 3" xfId="4924" xr:uid="{00000000-0005-0000-0000-000057000000}"/>
    <cellStyle name="20% - Accent1 3 2 2 3 2" xfId="14250" xr:uid="{916FCCC7-38C0-43C2-91BF-C89CEB0148F9}"/>
    <cellStyle name="20% - Accent1 3 2 2 4" xfId="9493" xr:uid="{FCEFE71D-2A04-4899-B62A-B225DBF7F0BF}"/>
    <cellStyle name="20% - Accent1 3 2 2 5" xfId="10033" xr:uid="{CF4C85CE-EE2F-40C5-A8AB-E092C94CC4E4}"/>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1E2B15D4-4E55-4E63-8EEA-AE3314CD1FA4}"/>
    <cellStyle name="20% - Accent1 3 2 3 2 3" xfId="12591" xr:uid="{BE91BF2A-F70A-43F7-BDDD-3AECAA321548}"/>
    <cellStyle name="20% - Accent1 3 2 3 3" xfId="5337" xr:uid="{00000000-0005-0000-0000-00005B000000}"/>
    <cellStyle name="20% - Accent1 3 2 3 3 2" xfId="14663" xr:uid="{DE553C23-EE45-43F2-8869-FEA392709AA2}"/>
    <cellStyle name="20% - Accent1 3 2 3 4" xfId="10446" xr:uid="{332C00CD-B29D-4741-853F-49B321FFACF5}"/>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835A44E4-1F45-4D24-B528-AEF40D22E2F1}"/>
    <cellStyle name="20% - Accent1 3 2 4 2 3" xfId="13004" xr:uid="{5B4E20B7-BAE6-482F-968A-DF7A179F211E}"/>
    <cellStyle name="20% - Accent1 3 2 4 3" xfId="5750" xr:uid="{00000000-0005-0000-0000-00005F000000}"/>
    <cellStyle name="20% - Accent1 3 2 4 3 2" xfId="15076" xr:uid="{E86B842D-045B-42CB-9C3D-EFA7ADDF22E5}"/>
    <cellStyle name="20% - Accent1 3 2 4 4" xfId="10859" xr:uid="{7622C198-B86C-42E4-9880-3712F3F4AA82}"/>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0D73F5D1-17F0-4258-9258-296D1FFB25AE}"/>
    <cellStyle name="20% - Accent1 3 2 5 2 3" xfId="13417" xr:uid="{08333A35-E29A-48AE-976A-F66DA46C3751}"/>
    <cellStyle name="20% - Accent1 3 2 5 3" xfId="6163" xr:uid="{00000000-0005-0000-0000-000063000000}"/>
    <cellStyle name="20% - Accent1 3 2 5 3 2" xfId="15489" xr:uid="{C008F62C-4B2D-4F14-BCFE-7B670E3FFE77}"/>
    <cellStyle name="20% - Accent1 3 2 5 4" xfId="11272" xr:uid="{77E7A60E-9D48-4BE5-8DE4-4B69FBBAE3B8}"/>
    <cellStyle name="20% - Accent1 3 2 6" xfId="2270" xr:uid="{00000000-0005-0000-0000-000064000000}"/>
    <cellStyle name="20% - Accent1 3 2 6 2" xfId="6576" xr:uid="{00000000-0005-0000-0000-000065000000}"/>
    <cellStyle name="20% - Accent1 3 2 6 2 2" xfId="15902" xr:uid="{04F312F2-E10E-4AA2-B97C-121B6EE997DB}"/>
    <cellStyle name="20% - Accent1 3 2 6 3" xfId="11685" xr:uid="{8689FB5E-F69B-4FC0-9E81-845CE1CD8546}"/>
    <cellStyle name="20% - Accent1 3 2 7" xfId="4510" xr:uid="{00000000-0005-0000-0000-000066000000}"/>
    <cellStyle name="20% - Accent1 3 2 7 2" xfId="13836" xr:uid="{F0C88645-6713-4A5F-8E96-029C39C0F6DA}"/>
    <cellStyle name="20% - Accent1 3 2 8" xfId="9068" xr:uid="{354460C9-AD38-4FCD-882B-4DFB81DE5890}"/>
    <cellStyle name="20% - Accent1 3 2 9" xfId="9619" xr:uid="{36A0941D-2E93-4BA4-95A9-CF3BFF4581FB}"/>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2C9BDBAF-8BF1-49DC-BBE8-29AD58DA3120}"/>
    <cellStyle name="20% - Accent1 3 3 2 3" xfId="12177" xr:uid="{F535A95C-F48C-4EE0-A237-84D020E007B7}"/>
    <cellStyle name="20% - Accent1 3 3 3" xfId="4923" xr:uid="{00000000-0005-0000-0000-00006A000000}"/>
    <cellStyle name="20% - Accent1 3 3 3 2" xfId="14249" xr:uid="{49C4040E-541E-4A8A-B1AD-D0D69F9600E8}"/>
    <cellStyle name="20% - Accent1 3 3 4" xfId="9286" xr:uid="{B5220C4B-EBE7-4AD0-9A24-7F16FA378184}"/>
    <cellStyle name="20% - Accent1 3 3 5" xfId="10032" xr:uid="{DF3182F0-8FF9-4EBC-A3A5-A7135A2A0D57}"/>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6F6364FC-B4BA-405B-8086-24A8946403C6}"/>
    <cellStyle name="20% - Accent1 3 4 2 3" xfId="12590" xr:uid="{68B39F2E-FC4C-47E1-8C46-4DF1F613877E}"/>
    <cellStyle name="20% - Accent1 3 4 3" xfId="5336" xr:uid="{00000000-0005-0000-0000-00006E000000}"/>
    <cellStyle name="20% - Accent1 3 4 3 2" xfId="14662" xr:uid="{06969244-C42C-41B5-8C3E-E1C7A1547457}"/>
    <cellStyle name="20% - Accent1 3 4 4" xfId="10445" xr:uid="{7502B5E5-2376-43BC-9708-3EBDD8016C4C}"/>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712F82DC-33C1-447C-B4E9-43791425D6FA}"/>
    <cellStyle name="20% - Accent1 3 5 2 3" xfId="13003" xr:uid="{25F432C1-D2A7-4F0B-87E4-2C6C6AFF8BA2}"/>
    <cellStyle name="20% - Accent1 3 5 3" xfId="5749" xr:uid="{00000000-0005-0000-0000-000072000000}"/>
    <cellStyle name="20% - Accent1 3 5 3 2" xfId="15075" xr:uid="{7899F627-77A8-4335-B32A-6F3B1707A0A4}"/>
    <cellStyle name="20% - Accent1 3 5 4" xfId="10858" xr:uid="{2E56E40B-C60B-4D92-9F55-18F88231B8E4}"/>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3936BD67-03BE-4B3E-B6DF-7EE95FDFF239}"/>
    <cellStyle name="20% - Accent1 3 6 2 3" xfId="13416" xr:uid="{FDA1C94C-D6BD-41DB-86AC-962C34CC6902}"/>
    <cellStyle name="20% - Accent1 3 6 3" xfId="6162" xr:uid="{00000000-0005-0000-0000-000076000000}"/>
    <cellStyle name="20% - Accent1 3 6 3 2" xfId="15488" xr:uid="{7307AAFF-9016-4C7E-83AD-5B32D253E37A}"/>
    <cellStyle name="20% - Accent1 3 6 4" xfId="11271" xr:uid="{9F089563-6590-4C6A-9830-6ACEC1C06B82}"/>
    <cellStyle name="20% - Accent1 3 7" xfId="2269" xr:uid="{00000000-0005-0000-0000-000077000000}"/>
    <cellStyle name="20% - Accent1 3 7 2" xfId="6575" xr:uid="{00000000-0005-0000-0000-000078000000}"/>
    <cellStyle name="20% - Accent1 3 7 2 2" xfId="15901" xr:uid="{7C048F7C-F081-44AD-A2CF-F52C2A0E7275}"/>
    <cellStyle name="20% - Accent1 3 7 3" xfId="11684" xr:uid="{85DF479B-0FB2-4D58-A249-2CB945B37C59}"/>
    <cellStyle name="20% - Accent1 3 8" xfId="4509" xr:uid="{00000000-0005-0000-0000-000079000000}"/>
    <cellStyle name="20% - Accent1 3 8 2" xfId="13835" xr:uid="{44A0B37B-8198-40E7-9412-FB1DEC067501}"/>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DC725EC4-5C50-4419-8550-48B9509C5301}"/>
    <cellStyle name="20% - Accent1 4 2 2 3" xfId="12179" xr:uid="{3A81D567-B7BC-4ED8-AF79-B6F69959D372}"/>
    <cellStyle name="20% - Accent1 4 2 3" xfId="4925" xr:uid="{00000000-0005-0000-0000-00007E000000}"/>
    <cellStyle name="20% - Accent1 4 2 3 2" xfId="14251" xr:uid="{6DFED2F6-D961-4F77-9458-C5E44B84E631}"/>
    <cellStyle name="20% - Accent1 4 2 4" xfId="9372" xr:uid="{E6B08341-6F7D-4580-9BCF-4BFC252FAE31}"/>
    <cellStyle name="20% - Accent1 4 2 5" xfId="10034" xr:uid="{A3A74630-E60B-473F-AE4A-DBA4AF73855A}"/>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B77EBC03-B305-41FA-85D7-4627AF81CB55}"/>
    <cellStyle name="20% - Accent1 4 3 2 3" xfId="12592" xr:uid="{F50A95D1-9DA5-40BE-B07A-FB4BDD518293}"/>
    <cellStyle name="20% - Accent1 4 3 3" xfId="5338" xr:uid="{00000000-0005-0000-0000-000082000000}"/>
    <cellStyle name="20% - Accent1 4 3 3 2" xfId="14664" xr:uid="{A249FDC4-FCC9-4D56-8302-AC7A0F49561A}"/>
    <cellStyle name="20% - Accent1 4 3 4" xfId="10447" xr:uid="{9E4D1CFE-AA93-4394-B463-046A31D07DAE}"/>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891D5CD8-EF29-4789-8787-9B87FF69B98B}"/>
    <cellStyle name="20% - Accent1 4 4 2 3" xfId="13005" xr:uid="{8095C59C-2E90-4D4D-833F-E1CD6B6411A2}"/>
    <cellStyle name="20% - Accent1 4 4 3" xfId="5751" xr:uid="{00000000-0005-0000-0000-000086000000}"/>
    <cellStyle name="20% - Accent1 4 4 3 2" xfId="15077" xr:uid="{1973F9EC-684C-4722-ADA7-42EF038BB6D8}"/>
    <cellStyle name="20% - Accent1 4 4 4" xfId="10860" xr:uid="{D6CCEA64-FDE8-43BA-ADC8-CF5B8FEFF267}"/>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C9055E06-374D-4D53-92EC-F51033B8E469}"/>
    <cellStyle name="20% - Accent1 4 5 2 3" xfId="13418" xr:uid="{009430A7-F81D-4FE3-B128-DFB555AEC898}"/>
    <cellStyle name="20% - Accent1 4 5 3" xfId="6164" xr:uid="{00000000-0005-0000-0000-00008A000000}"/>
    <cellStyle name="20% - Accent1 4 5 3 2" xfId="15490" xr:uid="{EFC33E24-A80F-4150-87DE-CABB44494417}"/>
    <cellStyle name="20% - Accent1 4 5 4" xfId="11273" xr:uid="{94130B2A-EF45-4CB7-BC59-23983414F2B9}"/>
    <cellStyle name="20% - Accent1 4 6" xfId="2271" xr:uid="{00000000-0005-0000-0000-00008B000000}"/>
    <cellStyle name="20% - Accent1 4 6 2" xfId="6577" xr:uid="{00000000-0005-0000-0000-00008C000000}"/>
    <cellStyle name="20% - Accent1 4 6 2 2" xfId="15903" xr:uid="{9E0A67C3-8AFE-44A0-8DE9-651138A34720}"/>
    <cellStyle name="20% - Accent1 4 6 3" xfId="11686" xr:uid="{C4B235A2-46FB-47F7-AD68-E00D150BEE68}"/>
    <cellStyle name="20% - Accent1 4 7" xfId="4511" xr:uid="{00000000-0005-0000-0000-00008D000000}"/>
    <cellStyle name="20% - Accent1 4 7 2" xfId="13837" xr:uid="{69B0060B-F281-4D1D-829D-059EC7D70994}"/>
    <cellStyle name="20% - Accent1 4 8" xfId="8947" xr:uid="{1FCDBFE2-CC86-42DD-AD9B-D3EAF476002E}"/>
    <cellStyle name="20% - Accent1 4 9" xfId="9620" xr:uid="{71D4139D-98E9-4C2C-8C26-332A6AD33786}"/>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22F33AE0-85E7-42F1-B403-ECA6C22640E4}"/>
    <cellStyle name="20% - Accent1 5 2 3" xfId="12172" xr:uid="{D7FB5610-28AF-4B29-A0DC-87C6A697BB3E}"/>
    <cellStyle name="20% - Accent1 5 3" xfId="4918" xr:uid="{00000000-0005-0000-0000-000091000000}"/>
    <cellStyle name="20% - Accent1 5 3 2" xfId="14244" xr:uid="{FE57655F-7CE4-41C5-9342-483BEBECC36A}"/>
    <cellStyle name="20% - Accent1 5 4" xfId="9180" xr:uid="{D0AEF57E-25E3-47C5-B910-DC1A0019F498}"/>
    <cellStyle name="20% - Accent1 5 5" xfId="10027" xr:uid="{9CF27657-622D-49B9-83DE-2474F7E114B6}"/>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113D98B6-5C4B-438D-AA4F-D52B6D1ED29F}"/>
    <cellStyle name="20% - Accent1 6 2 3" xfId="12585" xr:uid="{3ECD6018-FAA1-418C-AEFF-84AB99BEF271}"/>
    <cellStyle name="20% - Accent1 6 3" xfId="5331" xr:uid="{00000000-0005-0000-0000-000095000000}"/>
    <cellStyle name="20% - Accent1 6 3 2" xfId="14657" xr:uid="{20CADE9E-1AF1-48B7-A66E-14913C19D579}"/>
    <cellStyle name="20% - Accent1 6 4" xfId="10440" xr:uid="{3C89AB29-03F5-406D-8DBD-DF7AF77D351C}"/>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DD6807B5-BE3F-4D0A-8298-5A15A8786F45}"/>
    <cellStyle name="20% - Accent1 7 2 3" xfId="12998" xr:uid="{85E1E06F-5293-441A-A292-6FBF5C27467D}"/>
    <cellStyle name="20% - Accent1 7 3" xfId="5744" xr:uid="{00000000-0005-0000-0000-000099000000}"/>
    <cellStyle name="20% - Accent1 7 3 2" xfId="15070" xr:uid="{5E044F18-5AB6-48B0-A9B3-A7118406E7CC}"/>
    <cellStyle name="20% - Accent1 7 4" xfId="10853" xr:uid="{A46D04E4-3661-4089-9516-C74B22D8B31C}"/>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8E082419-421B-4CB2-BD7B-D158B5C340BC}"/>
    <cellStyle name="20% - Accent1 8 2 3" xfId="13411" xr:uid="{23EC1193-C886-4D33-82FF-DC0F0AC95A33}"/>
    <cellStyle name="20% - Accent1 8 3" xfId="6157" xr:uid="{00000000-0005-0000-0000-00009D000000}"/>
    <cellStyle name="20% - Accent1 8 3 2" xfId="15483" xr:uid="{A0941DD4-A13F-4BFD-8708-99066682AE69}"/>
    <cellStyle name="20% - Accent1 8 4" xfId="11266" xr:uid="{96041D24-CDC4-4C98-B6FE-8DC51B8E835D}"/>
    <cellStyle name="20% - Accent1 9" xfId="2264" xr:uid="{00000000-0005-0000-0000-00009E000000}"/>
    <cellStyle name="20% - Accent1 9 2" xfId="6570" xr:uid="{00000000-0005-0000-0000-00009F000000}"/>
    <cellStyle name="20% - Accent1 9 2 2" xfId="15896" xr:uid="{C75A04D9-C03E-41D4-9D4C-60D6CA77C23F}"/>
    <cellStyle name="20% - Accent1 9 3" xfId="11679" xr:uid="{8FF1DC3A-126C-4B9F-BE6C-431868B34904}"/>
    <cellStyle name="20% - Accent2" xfId="9" builtinId="34" customBuiltin="1"/>
    <cellStyle name="20% - Accent2 10" xfId="4512" xr:uid="{00000000-0005-0000-0000-0000A1000000}"/>
    <cellStyle name="20% - Accent2 10 2" xfId="13838" xr:uid="{84C42CB6-87E2-45D7-8838-F7397BE78355}"/>
    <cellStyle name="20% - Accent2 11" xfId="8760" xr:uid="{2F9D8AF1-C115-467C-ADFB-3BF13039D076}"/>
    <cellStyle name="20% - Accent2 12" xfId="9621" xr:uid="{B0FBADD1-DBA8-4955-ABCA-3C7CFF1337A7}"/>
    <cellStyle name="20% - Accent2 2" xfId="10" xr:uid="{00000000-0005-0000-0000-0000A2000000}"/>
    <cellStyle name="20% - Accent2 2 10" xfId="8793" xr:uid="{AA7C3473-3A75-4F75-9E25-D7658C57F3A0}"/>
    <cellStyle name="20% - Accent2 2 11" xfId="9622" xr:uid="{F39136DB-0156-4ACE-B6BB-F5703C53C188}"/>
    <cellStyle name="20% - Accent2 2 2" xfId="11" xr:uid="{00000000-0005-0000-0000-0000A3000000}"/>
    <cellStyle name="20% - Accent2 2 2 10" xfId="9623" xr:uid="{E81FD2BF-7189-4289-8184-6135082F2F41}"/>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8FA8C1F5-63A0-4B2C-8819-6EEC43727FD4}"/>
    <cellStyle name="20% - Accent2 2 2 2 2 2 3" xfId="12183" xr:uid="{3F82D581-6AD3-44CC-983D-2D613B9CA936}"/>
    <cellStyle name="20% - Accent2 2 2 2 2 3" xfId="4929" xr:uid="{00000000-0005-0000-0000-0000A8000000}"/>
    <cellStyle name="20% - Accent2 2 2 2 2 3 2" xfId="14255" xr:uid="{62FDC69E-34F8-473C-9753-F8568EBD952C}"/>
    <cellStyle name="20% - Accent2 2 2 2 2 4" xfId="9528" xr:uid="{C8BEA541-FD8B-4449-95AA-43E1904F35BB}"/>
    <cellStyle name="20% - Accent2 2 2 2 2 5" xfId="10038" xr:uid="{8ADC33BD-6CAB-40B9-AB68-1EDED1B1DDE8}"/>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A8F705E2-8637-41FE-ABE8-2BE4386B7457}"/>
    <cellStyle name="20% - Accent2 2 2 2 3 2 3" xfId="12596" xr:uid="{0E2A630B-7E60-4E66-A6ED-593E9C8E7143}"/>
    <cellStyle name="20% - Accent2 2 2 2 3 3" xfId="5342" xr:uid="{00000000-0005-0000-0000-0000AC000000}"/>
    <cellStyle name="20% - Accent2 2 2 2 3 3 2" xfId="14668" xr:uid="{F6047085-F621-4E09-BFFC-DAD19AE75A46}"/>
    <cellStyle name="20% - Accent2 2 2 2 3 4" xfId="10451" xr:uid="{084BF255-4CE3-43C4-B0C7-997DFBA3DFCD}"/>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0F710DD6-24F6-4BD8-900D-4A925F29AA08}"/>
    <cellStyle name="20% - Accent2 2 2 2 4 2 3" xfId="13009" xr:uid="{44054195-32A1-4873-8A3A-60D6C4D58681}"/>
    <cellStyle name="20% - Accent2 2 2 2 4 3" xfId="5755" xr:uid="{00000000-0005-0000-0000-0000B0000000}"/>
    <cellStyle name="20% - Accent2 2 2 2 4 3 2" xfId="15081" xr:uid="{2B0A32D0-A441-4DA2-B921-1C3D68B39F53}"/>
    <cellStyle name="20% - Accent2 2 2 2 4 4" xfId="10864" xr:uid="{D6554950-0B52-4814-BEE7-03E710AE4EC1}"/>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0FA53AB6-538A-43C3-8D3A-B231469D18AB}"/>
    <cellStyle name="20% - Accent2 2 2 2 5 2 3" xfId="13422" xr:uid="{1F19F088-6A0E-477A-8C83-65F586B220BF}"/>
    <cellStyle name="20% - Accent2 2 2 2 5 3" xfId="6168" xr:uid="{00000000-0005-0000-0000-0000B4000000}"/>
    <cellStyle name="20% - Accent2 2 2 2 5 3 2" xfId="15494" xr:uid="{DC9A1CB9-394E-4F45-8887-2E8851C00FAB}"/>
    <cellStyle name="20% - Accent2 2 2 2 5 4" xfId="11277" xr:uid="{BDF5304C-5CDD-448F-8399-FEC0F1150170}"/>
    <cellStyle name="20% - Accent2 2 2 2 6" xfId="2275" xr:uid="{00000000-0005-0000-0000-0000B5000000}"/>
    <cellStyle name="20% - Accent2 2 2 2 6 2" xfId="6581" xr:uid="{00000000-0005-0000-0000-0000B6000000}"/>
    <cellStyle name="20% - Accent2 2 2 2 6 2 2" xfId="15907" xr:uid="{2E10B183-8953-4442-9163-D0F3836E8549}"/>
    <cellStyle name="20% - Accent2 2 2 2 6 3" xfId="11690" xr:uid="{DD03F427-502E-4208-A556-154717FA0EDA}"/>
    <cellStyle name="20% - Accent2 2 2 2 7" xfId="4515" xr:uid="{00000000-0005-0000-0000-0000B7000000}"/>
    <cellStyle name="20% - Accent2 2 2 2 7 2" xfId="13841" xr:uid="{06B438DA-4ED3-476A-9A36-F49B52D73094}"/>
    <cellStyle name="20% - Accent2 2 2 2 8" xfId="9103" xr:uid="{91DB80A1-3464-4086-B948-71B6A26537C4}"/>
    <cellStyle name="20% - Accent2 2 2 2 9" xfId="9624" xr:uid="{848CA16F-F709-4DDB-BF9E-1FBA0D22BEC0}"/>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A51B05D1-431E-43B9-97CD-77DF171C9992}"/>
    <cellStyle name="20% - Accent2 2 2 3 2 3" xfId="12182" xr:uid="{A9597681-5344-4BB5-A595-6975AE208703}"/>
    <cellStyle name="20% - Accent2 2 2 3 3" xfId="4928" xr:uid="{00000000-0005-0000-0000-0000BB000000}"/>
    <cellStyle name="20% - Accent2 2 2 3 3 2" xfId="14254" xr:uid="{AA7E776D-AF9C-4DC5-AA67-7D1DCFC528A8}"/>
    <cellStyle name="20% - Accent2 2 2 3 4" xfId="9321" xr:uid="{32B21C3A-E360-4F19-B469-1116F045A0F3}"/>
    <cellStyle name="20% - Accent2 2 2 3 5" xfId="10037" xr:uid="{CD5CD3DA-F74B-4C90-8792-68C16962081E}"/>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1CB7925C-CE2D-438D-89FD-13607471D8A6}"/>
    <cellStyle name="20% - Accent2 2 2 4 2 3" xfId="12595" xr:uid="{21FEA897-0FCE-4BC1-B978-AC4DBA7E1EE7}"/>
    <cellStyle name="20% - Accent2 2 2 4 3" xfId="5341" xr:uid="{00000000-0005-0000-0000-0000BF000000}"/>
    <cellStyle name="20% - Accent2 2 2 4 3 2" xfId="14667" xr:uid="{5A8C01C0-A5BF-487A-A998-B96285486BA0}"/>
    <cellStyle name="20% - Accent2 2 2 4 4" xfId="10450" xr:uid="{74CDC5CC-8EBA-41CC-A777-52B3CA7C5196}"/>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5341CCD0-CA7D-458B-BD66-243CBCCA13F1}"/>
    <cellStyle name="20% - Accent2 2 2 5 2 3" xfId="13008" xr:uid="{DB96EFCA-3451-460F-A3E2-F25CD85E0EDD}"/>
    <cellStyle name="20% - Accent2 2 2 5 3" xfId="5754" xr:uid="{00000000-0005-0000-0000-0000C3000000}"/>
    <cellStyle name="20% - Accent2 2 2 5 3 2" xfId="15080" xr:uid="{8A7DD09C-7A3D-49CE-8B0F-466840DB8B46}"/>
    <cellStyle name="20% - Accent2 2 2 5 4" xfId="10863" xr:uid="{0D68EBDA-0B1C-4E59-A127-861307A15F27}"/>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B743BFEC-2DDA-4083-8DAF-4E8DB99A266A}"/>
    <cellStyle name="20% - Accent2 2 2 6 2 3" xfId="13421" xr:uid="{FAA256A9-86C5-476D-AF7F-6D6CE173E257}"/>
    <cellStyle name="20% - Accent2 2 2 6 3" xfId="6167" xr:uid="{00000000-0005-0000-0000-0000C7000000}"/>
    <cellStyle name="20% - Accent2 2 2 6 3 2" xfId="15493" xr:uid="{2FCBCA07-C83D-4024-9C71-ACAC942C6984}"/>
    <cellStyle name="20% - Accent2 2 2 6 4" xfId="11276" xr:uid="{E174641E-3B71-4806-A302-1310DB04FAD7}"/>
    <cellStyle name="20% - Accent2 2 2 7" xfId="2274" xr:uid="{00000000-0005-0000-0000-0000C8000000}"/>
    <cellStyle name="20% - Accent2 2 2 7 2" xfId="6580" xr:uid="{00000000-0005-0000-0000-0000C9000000}"/>
    <cellStyle name="20% - Accent2 2 2 7 2 2" xfId="15906" xr:uid="{47DDB125-0D0B-4E91-9F25-0ACC0CFCDDD4}"/>
    <cellStyle name="20% - Accent2 2 2 7 3" xfId="11689" xr:uid="{4932F785-DF02-4197-89BC-223EE72A92D8}"/>
    <cellStyle name="20% - Accent2 2 2 8" xfId="4514" xr:uid="{00000000-0005-0000-0000-0000CA000000}"/>
    <cellStyle name="20% - Accent2 2 2 8 2" xfId="13840" xr:uid="{8950BF61-3D52-4F5E-B3A0-6D24092361EE}"/>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B6024110-AF46-4002-BF44-FB55E2CF886D}"/>
    <cellStyle name="20% - Accent2 2 3 2 2 3" xfId="12184" xr:uid="{3A3FD695-AE2E-46BE-9B52-3618BDD9F110}"/>
    <cellStyle name="20% - Accent2 2 3 2 3" xfId="4930" xr:uid="{00000000-0005-0000-0000-0000CF000000}"/>
    <cellStyle name="20% - Accent2 2 3 2 3 2" xfId="14256" xr:uid="{77E351E1-B14B-4306-A857-905E97A04951}"/>
    <cellStyle name="20% - Accent2 2 3 2 4" xfId="9425" xr:uid="{35BECFF4-0F5A-4F6E-AE6E-354891135B4F}"/>
    <cellStyle name="20% - Accent2 2 3 2 5" xfId="10039" xr:uid="{C5F2FE3B-251C-4A8A-AC67-D6FB35145DAC}"/>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C18BFB66-3264-4973-81B1-74F93050F650}"/>
    <cellStyle name="20% - Accent2 2 3 3 2 3" xfId="12597" xr:uid="{759D65EC-5690-4378-9E0D-4538246942EB}"/>
    <cellStyle name="20% - Accent2 2 3 3 3" xfId="5343" xr:uid="{00000000-0005-0000-0000-0000D3000000}"/>
    <cellStyle name="20% - Accent2 2 3 3 3 2" xfId="14669" xr:uid="{939872C0-7747-4F3B-8608-345D2EBED186}"/>
    <cellStyle name="20% - Accent2 2 3 3 4" xfId="10452" xr:uid="{7C5298F3-B6D0-4B04-8BCB-B4142749988E}"/>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C34A75E3-B629-4B92-99E4-72342CAB30DD}"/>
    <cellStyle name="20% - Accent2 2 3 4 2 3" xfId="13010" xr:uid="{D849F39F-CC5E-4C84-912C-9339B30C38C0}"/>
    <cellStyle name="20% - Accent2 2 3 4 3" xfId="5756" xr:uid="{00000000-0005-0000-0000-0000D7000000}"/>
    <cellStyle name="20% - Accent2 2 3 4 3 2" xfId="15082" xr:uid="{2EC07C59-4AAE-4092-AC87-E72F23EFCF18}"/>
    <cellStyle name="20% - Accent2 2 3 4 4" xfId="10865" xr:uid="{50154356-6EBD-4473-AE87-294D0B206705}"/>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438E30F2-CF2A-47A4-9CE1-D0A4EE071DB9}"/>
    <cellStyle name="20% - Accent2 2 3 5 2 3" xfId="13423" xr:uid="{F8D2C678-6F5B-415E-AB4D-9A297643260B}"/>
    <cellStyle name="20% - Accent2 2 3 5 3" xfId="6169" xr:uid="{00000000-0005-0000-0000-0000DB000000}"/>
    <cellStyle name="20% - Accent2 2 3 5 3 2" xfId="15495" xr:uid="{A59EF3D2-DB96-4E82-8BD0-8DE7AAA282D1}"/>
    <cellStyle name="20% - Accent2 2 3 5 4" xfId="11278" xr:uid="{4D289B9B-C32D-4D3A-9ABF-8212CACFD225}"/>
    <cellStyle name="20% - Accent2 2 3 6" xfId="2276" xr:uid="{00000000-0005-0000-0000-0000DC000000}"/>
    <cellStyle name="20% - Accent2 2 3 6 2" xfId="6582" xr:uid="{00000000-0005-0000-0000-0000DD000000}"/>
    <cellStyle name="20% - Accent2 2 3 6 2 2" xfId="15908" xr:uid="{8EAB6A78-BE69-4490-935F-5E3947C69309}"/>
    <cellStyle name="20% - Accent2 2 3 6 3" xfId="11691" xr:uid="{118A25DE-0069-4E10-80C2-F3B204590DAB}"/>
    <cellStyle name="20% - Accent2 2 3 7" xfId="4516" xr:uid="{00000000-0005-0000-0000-0000DE000000}"/>
    <cellStyle name="20% - Accent2 2 3 7 2" xfId="13842" xr:uid="{A92F0610-A677-4CDB-B7E8-5FAFE15BAE43}"/>
    <cellStyle name="20% - Accent2 2 3 8" xfId="9000" xr:uid="{133DFC5C-F2FF-49E9-82EE-ABAA9C815393}"/>
    <cellStyle name="20% - Accent2 2 3 9" xfId="9625" xr:uid="{C08B58E6-B229-4A99-9B32-2A8B92855A57}"/>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1D27C69A-C43C-4C85-9DDD-EE8DA144A188}"/>
    <cellStyle name="20% - Accent2 2 4 2 3" xfId="12181" xr:uid="{829FDAF4-1709-4A44-AB30-576FD64AF5EE}"/>
    <cellStyle name="20% - Accent2 2 4 3" xfId="4927" xr:uid="{00000000-0005-0000-0000-0000E2000000}"/>
    <cellStyle name="20% - Accent2 2 4 3 2" xfId="14253" xr:uid="{9068D4F0-B156-499B-9C2D-AD5AE197C532}"/>
    <cellStyle name="20% - Accent2 2 4 4" xfId="9217" xr:uid="{28DDC3F5-BA57-40F8-8D06-6CFF141CF9A1}"/>
    <cellStyle name="20% - Accent2 2 4 5" xfId="10036" xr:uid="{841C82CE-9EF7-487E-8719-5D0ABF04E7F6}"/>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4B0C5D6A-3D19-4ED6-B262-EFCA38E73ECF}"/>
    <cellStyle name="20% - Accent2 2 5 2 3" xfId="12594" xr:uid="{626B485F-8BEA-41D1-8F75-D6B1A73121A5}"/>
    <cellStyle name="20% - Accent2 2 5 3" xfId="5340" xr:uid="{00000000-0005-0000-0000-0000E6000000}"/>
    <cellStyle name="20% - Accent2 2 5 3 2" xfId="14666" xr:uid="{2FD78D34-A431-48B0-8977-B3E2B039D5C0}"/>
    <cellStyle name="20% - Accent2 2 5 4" xfId="10449" xr:uid="{2B48D1C0-8180-40CD-A78C-032640B93935}"/>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9FFDD83C-05FA-400C-B272-D990C918A95F}"/>
    <cellStyle name="20% - Accent2 2 6 2 3" xfId="13007" xr:uid="{BB5ECA6B-E0E9-40E5-BDA6-110EC4908B65}"/>
    <cellStyle name="20% - Accent2 2 6 3" xfId="5753" xr:uid="{00000000-0005-0000-0000-0000EA000000}"/>
    <cellStyle name="20% - Accent2 2 6 3 2" xfId="15079" xr:uid="{70742599-BB24-4C47-8BEE-E94C9D754105}"/>
    <cellStyle name="20% - Accent2 2 6 4" xfId="10862" xr:uid="{6CB89270-0D38-4BA8-AD44-A273520A5279}"/>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C0CA54E7-4994-494D-B9C0-15B22198397B}"/>
    <cellStyle name="20% - Accent2 2 7 2 3" xfId="13420" xr:uid="{6046A702-A099-4D08-9A9E-38CFA77C208D}"/>
    <cellStyle name="20% - Accent2 2 7 3" xfId="6166" xr:uid="{00000000-0005-0000-0000-0000EE000000}"/>
    <cellStyle name="20% - Accent2 2 7 3 2" xfId="15492" xr:uid="{82C2FFC6-5F6C-4A25-B3A0-538874764AE9}"/>
    <cellStyle name="20% - Accent2 2 7 4" xfId="11275" xr:uid="{54EA7F78-5180-480E-82A9-BCFB0FACC2DA}"/>
    <cellStyle name="20% - Accent2 2 8" xfId="2273" xr:uid="{00000000-0005-0000-0000-0000EF000000}"/>
    <cellStyle name="20% - Accent2 2 8 2" xfId="6579" xr:uid="{00000000-0005-0000-0000-0000F0000000}"/>
    <cellStyle name="20% - Accent2 2 8 2 2" xfId="15905" xr:uid="{E3545FEC-396B-4A68-A17F-711ADBD5DC34}"/>
    <cellStyle name="20% - Accent2 2 8 3" xfId="11688" xr:uid="{042B4571-F597-41FF-BA6B-FBDCDD407FFD}"/>
    <cellStyle name="20% - Accent2 2 9" xfId="4513" xr:uid="{00000000-0005-0000-0000-0000F1000000}"/>
    <cellStyle name="20% - Accent2 2 9 2" xfId="13839" xr:uid="{8B3932F3-E4EB-4DB5-A4F4-57BA137022EB}"/>
    <cellStyle name="20% - Accent2 3" xfId="14" xr:uid="{00000000-0005-0000-0000-0000F2000000}"/>
    <cellStyle name="20% - Accent2 3 10" xfId="9626" xr:uid="{AA3C4254-9528-47B1-B565-C4E7D5FD4193}"/>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914F4A5B-017D-4404-8725-3ADBCB0C1744}"/>
    <cellStyle name="20% - Accent2 3 2 2 2 3" xfId="12186" xr:uid="{DB3D73C8-7D40-4D45-B810-27DBFF6B9611}"/>
    <cellStyle name="20% - Accent2 3 2 2 3" xfId="4932" xr:uid="{00000000-0005-0000-0000-0000F7000000}"/>
    <cellStyle name="20% - Accent2 3 2 2 3 2" xfId="14258" xr:uid="{B607DD9B-1AF1-40FE-9EDB-E0BA083A97F8}"/>
    <cellStyle name="20% - Accent2 3 2 2 4" xfId="9495" xr:uid="{9F5A6FE7-BBC9-4787-8EC4-2112F4D5A0EA}"/>
    <cellStyle name="20% - Accent2 3 2 2 5" xfId="10041" xr:uid="{D29E77CD-DDB6-4EDB-9C35-89DBAD5EFFB3}"/>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BCB96E70-0AEC-4E53-9E1A-0E1C0F49D8ED}"/>
    <cellStyle name="20% - Accent2 3 2 3 2 3" xfId="12599" xr:uid="{EB5E8FB5-B8F3-45D7-8633-043F64806398}"/>
    <cellStyle name="20% - Accent2 3 2 3 3" xfId="5345" xr:uid="{00000000-0005-0000-0000-0000FB000000}"/>
    <cellStyle name="20% - Accent2 3 2 3 3 2" xfId="14671" xr:uid="{A3CD9A0C-E6AF-4036-B147-DD50C5C1D26B}"/>
    <cellStyle name="20% - Accent2 3 2 3 4" xfId="10454" xr:uid="{A18F58CA-5081-45CD-BEF9-F29C2C38E351}"/>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35E12A2B-9F26-4C58-A05E-AA3ED44D5E5E}"/>
    <cellStyle name="20% - Accent2 3 2 4 2 3" xfId="13012" xr:uid="{D25B7EF1-CBB9-443A-8C10-C4184DE9D50B}"/>
    <cellStyle name="20% - Accent2 3 2 4 3" xfId="5758" xr:uid="{00000000-0005-0000-0000-0000FF000000}"/>
    <cellStyle name="20% - Accent2 3 2 4 3 2" xfId="15084" xr:uid="{4D55ADEB-83F2-4EC4-9822-6B3E340E99B4}"/>
    <cellStyle name="20% - Accent2 3 2 4 4" xfId="10867" xr:uid="{2AF7D051-7209-4079-9B76-C8E1ECDBEA9C}"/>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9E60B113-06A9-4CF1-8E89-BCE743D6591C}"/>
    <cellStyle name="20% - Accent2 3 2 5 2 3" xfId="13425" xr:uid="{821F4CB1-3B72-4926-9DB5-C85836EFB8AD}"/>
    <cellStyle name="20% - Accent2 3 2 5 3" xfId="6171" xr:uid="{00000000-0005-0000-0000-000003010000}"/>
    <cellStyle name="20% - Accent2 3 2 5 3 2" xfId="15497" xr:uid="{C773195F-15B7-4198-A606-F4AA23E57A68}"/>
    <cellStyle name="20% - Accent2 3 2 5 4" xfId="11280" xr:uid="{FB44A310-A034-49AE-A7F7-E99304D8A55F}"/>
    <cellStyle name="20% - Accent2 3 2 6" xfId="2278" xr:uid="{00000000-0005-0000-0000-000004010000}"/>
    <cellStyle name="20% - Accent2 3 2 6 2" xfId="6584" xr:uid="{00000000-0005-0000-0000-000005010000}"/>
    <cellStyle name="20% - Accent2 3 2 6 2 2" xfId="15910" xr:uid="{E02F8ADC-6D88-4088-B9F4-60C37C698081}"/>
    <cellStyle name="20% - Accent2 3 2 6 3" xfId="11693" xr:uid="{1302E560-B143-4939-B3F1-1913F5CAF1A2}"/>
    <cellStyle name="20% - Accent2 3 2 7" xfId="4518" xr:uid="{00000000-0005-0000-0000-000006010000}"/>
    <cellStyle name="20% - Accent2 3 2 7 2" xfId="13844" xr:uid="{76400F84-7BDB-48D2-9D25-A7D1B7F29BA4}"/>
    <cellStyle name="20% - Accent2 3 2 8" xfId="9070" xr:uid="{8A9168BA-490F-4E57-83EA-22187D24153F}"/>
    <cellStyle name="20% - Accent2 3 2 9" xfId="9627" xr:uid="{9D347D58-2CCB-4922-9060-D9F985F38AC6}"/>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42BB457E-9022-4B30-BEDA-110AA8331E0E}"/>
    <cellStyle name="20% - Accent2 3 3 2 3" xfId="12185" xr:uid="{15E72414-2AFB-41F5-A1D1-10CB854E097E}"/>
    <cellStyle name="20% - Accent2 3 3 3" xfId="4931" xr:uid="{00000000-0005-0000-0000-00000A010000}"/>
    <cellStyle name="20% - Accent2 3 3 3 2" xfId="14257" xr:uid="{7D836018-F270-4742-9DCD-576FB79F1648}"/>
    <cellStyle name="20% - Accent2 3 3 4" xfId="9288" xr:uid="{FCD70616-ECAD-4A0B-889F-4698E1AD889E}"/>
    <cellStyle name="20% - Accent2 3 3 5" xfId="10040" xr:uid="{B379C09A-3F49-41E0-B881-53EB97215434}"/>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CF9693B9-0DF0-4802-97CD-1A1D6CF31EA8}"/>
    <cellStyle name="20% - Accent2 3 4 2 3" xfId="12598" xr:uid="{9E567637-E110-4F57-8878-49C84DB38A15}"/>
    <cellStyle name="20% - Accent2 3 4 3" xfId="5344" xr:uid="{00000000-0005-0000-0000-00000E010000}"/>
    <cellStyle name="20% - Accent2 3 4 3 2" xfId="14670" xr:uid="{E1B53A4A-2545-41B1-B7E5-CB7C1EED84E6}"/>
    <cellStyle name="20% - Accent2 3 4 4" xfId="10453" xr:uid="{8C1FF04E-5EBC-460A-A719-D0362119EA7E}"/>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27B900C0-DB54-41C6-8F9A-386016D62A97}"/>
    <cellStyle name="20% - Accent2 3 5 2 3" xfId="13011" xr:uid="{4B9C0647-BEB4-488C-A684-0933933E3D87}"/>
    <cellStyle name="20% - Accent2 3 5 3" xfId="5757" xr:uid="{00000000-0005-0000-0000-000012010000}"/>
    <cellStyle name="20% - Accent2 3 5 3 2" xfId="15083" xr:uid="{B8284C81-992C-4744-9925-02810087CB97}"/>
    <cellStyle name="20% - Accent2 3 5 4" xfId="10866" xr:uid="{AD11DA44-42D3-42CF-8351-D726F1BC61F3}"/>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7EC635F3-E9B8-439C-8D2A-9D86C26E1804}"/>
    <cellStyle name="20% - Accent2 3 6 2 3" xfId="13424" xr:uid="{7ABE4E0F-52AB-41EF-B12A-A27EA4B72D62}"/>
    <cellStyle name="20% - Accent2 3 6 3" xfId="6170" xr:uid="{00000000-0005-0000-0000-000016010000}"/>
    <cellStyle name="20% - Accent2 3 6 3 2" xfId="15496" xr:uid="{A274E27F-B06D-4689-B2BE-501C240F07A4}"/>
    <cellStyle name="20% - Accent2 3 6 4" xfId="11279" xr:uid="{A27EBE7C-6CF8-46C6-8BDD-BC291967CD5E}"/>
    <cellStyle name="20% - Accent2 3 7" xfId="2277" xr:uid="{00000000-0005-0000-0000-000017010000}"/>
    <cellStyle name="20% - Accent2 3 7 2" xfId="6583" xr:uid="{00000000-0005-0000-0000-000018010000}"/>
    <cellStyle name="20% - Accent2 3 7 2 2" xfId="15909" xr:uid="{04F948EA-F77F-4915-8227-F46F0A3726AC}"/>
    <cellStyle name="20% - Accent2 3 7 3" xfId="11692" xr:uid="{476DAB97-D56C-42F9-909A-AFE6C9B6DB5C}"/>
    <cellStyle name="20% - Accent2 3 8" xfId="4517" xr:uid="{00000000-0005-0000-0000-000019010000}"/>
    <cellStyle name="20% - Accent2 3 8 2" xfId="13843" xr:uid="{FF40C194-E2FE-47CC-942D-5EA132A38491}"/>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A8E54311-8B1D-4CA5-AC47-B8B191855C57}"/>
    <cellStyle name="20% - Accent2 4 2 2 3" xfId="12187" xr:uid="{8E9ADB63-1B77-4728-8C1E-428E1BDFBD05}"/>
    <cellStyle name="20% - Accent2 4 2 3" xfId="4933" xr:uid="{00000000-0005-0000-0000-00001E010000}"/>
    <cellStyle name="20% - Accent2 4 2 3 2" xfId="14259" xr:uid="{CBD1DCA5-6E05-417C-9187-FA297975705A}"/>
    <cellStyle name="20% - Accent2 4 2 4" xfId="9374" xr:uid="{26FD7A0E-8D04-4AF7-B092-2B22A78F0A97}"/>
    <cellStyle name="20% - Accent2 4 2 5" xfId="10042" xr:uid="{E544AB78-3735-4DD8-97DE-531525093251}"/>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5AE1FDC4-9BE1-4F3A-B6BD-6A655CE9C32E}"/>
    <cellStyle name="20% - Accent2 4 3 2 3" xfId="12600" xr:uid="{E5ED3F28-92B3-4F11-9F44-656AE4066332}"/>
    <cellStyle name="20% - Accent2 4 3 3" xfId="5346" xr:uid="{00000000-0005-0000-0000-000022010000}"/>
    <cellStyle name="20% - Accent2 4 3 3 2" xfId="14672" xr:uid="{363D8ABE-90A5-4832-9EFC-1A64920E17E5}"/>
    <cellStyle name="20% - Accent2 4 3 4" xfId="10455" xr:uid="{23280E71-A678-41D8-8E29-F16A7E0BFD47}"/>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ED5B9EFF-F0E1-45A9-94C3-CDDED60AB654}"/>
    <cellStyle name="20% - Accent2 4 4 2 3" xfId="13013" xr:uid="{74218C74-3DC2-420B-858C-D4466EC5A4A2}"/>
    <cellStyle name="20% - Accent2 4 4 3" xfId="5759" xr:uid="{00000000-0005-0000-0000-000026010000}"/>
    <cellStyle name="20% - Accent2 4 4 3 2" xfId="15085" xr:uid="{A3E013EF-3D65-4DB8-8B7A-EF3874704B51}"/>
    <cellStyle name="20% - Accent2 4 4 4" xfId="10868" xr:uid="{7E413A70-E41D-489C-9723-D0CD5599DC05}"/>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39EFA572-00C9-4FB5-81F7-E229D9C358D2}"/>
    <cellStyle name="20% - Accent2 4 5 2 3" xfId="13426" xr:uid="{672AA1F9-BB32-4622-8B7A-54215DDC238E}"/>
    <cellStyle name="20% - Accent2 4 5 3" xfId="6172" xr:uid="{00000000-0005-0000-0000-00002A010000}"/>
    <cellStyle name="20% - Accent2 4 5 3 2" xfId="15498" xr:uid="{B8758219-4533-4B76-9D73-E420E1308F03}"/>
    <cellStyle name="20% - Accent2 4 5 4" xfId="11281" xr:uid="{29A76411-5776-4B84-9AC4-16B63434659B}"/>
    <cellStyle name="20% - Accent2 4 6" xfId="2279" xr:uid="{00000000-0005-0000-0000-00002B010000}"/>
    <cellStyle name="20% - Accent2 4 6 2" xfId="6585" xr:uid="{00000000-0005-0000-0000-00002C010000}"/>
    <cellStyle name="20% - Accent2 4 6 2 2" xfId="15911" xr:uid="{04B4B6E0-C8B7-4AAC-B69A-98AE9E78D4A0}"/>
    <cellStyle name="20% - Accent2 4 6 3" xfId="11694" xr:uid="{78D17817-9B2B-417A-9F8A-6235AD609567}"/>
    <cellStyle name="20% - Accent2 4 7" xfId="4519" xr:uid="{00000000-0005-0000-0000-00002D010000}"/>
    <cellStyle name="20% - Accent2 4 7 2" xfId="13845" xr:uid="{46B20868-498A-4505-B541-ADE8A62C9049}"/>
    <cellStyle name="20% - Accent2 4 8" xfId="8949" xr:uid="{084C22A9-B904-4AFE-A752-AC1DC2CA76B8}"/>
    <cellStyle name="20% - Accent2 4 9" xfId="9628" xr:uid="{6C831684-4894-4B99-83A7-865A0CABC162}"/>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E455FAD6-89CF-4AF2-A462-E9DE9D8A6170}"/>
    <cellStyle name="20% - Accent2 5 2 3" xfId="12180" xr:uid="{01F1116B-2F9C-4D2C-AB2B-6B2B3BB236FF}"/>
    <cellStyle name="20% - Accent2 5 3" xfId="4926" xr:uid="{00000000-0005-0000-0000-000031010000}"/>
    <cellStyle name="20% - Accent2 5 3 2" xfId="14252" xr:uid="{46207F6B-96AD-4BAE-9F1C-3CD24D14CF53}"/>
    <cellStyle name="20% - Accent2 5 4" xfId="9182" xr:uid="{F822E263-B2A4-41B5-BBF9-FCE1A7A30601}"/>
    <cellStyle name="20% - Accent2 5 5" xfId="10035" xr:uid="{E85428F7-EF0F-470D-8A0D-DEDB7BA663EB}"/>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1B9E5349-0A65-4800-92E0-0E8AE57DF66F}"/>
    <cellStyle name="20% - Accent2 6 2 3" xfId="12593" xr:uid="{042E268A-D5F6-41DA-B478-E688EB7DB162}"/>
    <cellStyle name="20% - Accent2 6 3" xfId="5339" xr:uid="{00000000-0005-0000-0000-000035010000}"/>
    <cellStyle name="20% - Accent2 6 3 2" xfId="14665" xr:uid="{BFE536E7-271F-4FA5-B56B-8304AD12F7A1}"/>
    <cellStyle name="20% - Accent2 6 4" xfId="10448" xr:uid="{A35E12C8-1C7D-4D65-AE3B-42BDF35FAF51}"/>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8522145C-F866-4829-A87F-7892934FB244}"/>
    <cellStyle name="20% - Accent2 7 2 3" xfId="13006" xr:uid="{38A1A54B-5C19-4939-BD0C-EFF038D90D69}"/>
    <cellStyle name="20% - Accent2 7 3" xfId="5752" xr:uid="{00000000-0005-0000-0000-000039010000}"/>
    <cellStyle name="20% - Accent2 7 3 2" xfId="15078" xr:uid="{ED730C78-BF22-4F16-A91E-A6233A86D1EF}"/>
    <cellStyle name="20% - Accent2 7 4" xfId="10861" xr:uid="{2E7C4BA8-4FB1-4ED2-8F32-B786495952AE}"/>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2DB00502-C761-41C8-8EA9-52F712016910}"/>
    <cellStyle name="20% - Accent2 8 2 3" xfId="13419" xr:uid="{76FA9C4E-F56E-4F1A-B5BC-5797950338D0}"/>
    <cellStyle name="20% - Accent2 8 3" xfId="6165" xr:uid="{00000000-0005-0000-0000-00003D010000}"/>
    <cellStyle name="20% - Accent2 8 3 2" xfId="15491" xr:uid="{A7A840A6-4C15-4212-ADC4-C8F1BFC3E7C8}"/>
    <cellStyle name="20% - Accent2 8 4" xfId="11274" xr:uid="{9E78B413-2CBE-4153-BC2D-DED7CBE06844}"/>
    <cellStyle name="20% - Accent2 9" xfId="2272" xr:uid="{00000000-0005-0000-0000-00003E010000}"/>
    <cellStyle name="20% - Accent2 9 2" xfId="6578" xr:uid="{00000000-0005-0000-0000-00003F010000}"/>
    <cellStyle name="20% - Accent2 9 2 2" xfId="15904" xr:uid="{5838F13A-1170-406E-9991-4565BA2CF167}"/>
    <cellStyle name="20% - Accent2 9 3" xfId="11687" xr:uid="{ED1A78B9-C558-4658-908F-B594395EF80B}"/>
    <cellStyle name="20% - Accent3" xfId="17" builtinId="38" customBuiltin="1"/>
    <cellStyle name="20% - Accent3 10" xfId="4520" xr:uid="{00000000-0005-0000-0000-000041010000}"/>
    <cellStyle name="20% - Accent3 10 2" xfId="13846" xr:uid="{DB972F1B-619D-4670-ABCE-DDD7895B83A9}"/>
    <cellStyle name="20% - Accent3 11" xfId="8762" xr:uid="{49ACF776-43E7-4BB5-82F5-A8A4FEBC45F8}"/>
    <cellStyle name="20% - Accent3 12" xfId="9629" xr:uid="{254D895C-EFC2-4333-8C95-1D37D525A9AD}"/>
    <cellStyle name="20% - Accent3 2" xfId="18" xr:uid="{00000000-0005-0000-0000-000042010000}"/>
    <cellStyle name="20% - Accent3 2 10" xfId="8792" xr:uid="{65E5762F-047C-4860-B47E-71363924E2A5}"/>
    <cellStyle name="20% - Accent3 2 11" xfId="9630" xr:uid="{CD802BB0-8469-4000-9CFD-F13BE15698AB}"/>
    <cellStyle name="20% - Accent3 2 2" xfId="19" xr:uid="{00000000-0005-0000-0000-000043010000}"/>
    <cellStyle name="20% - Accent3 2 2 10" xfId="9631" xr:uid="{9C3D2DDF-93B4-4860-9DB7-DC58040F6453}"/>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A995475A-304D-4282-ABC7-90180D6BC4C4}"/>
    <cellStyle name="20% - Accent3 2 2 2 2 2 3" xfId="12191" xr:uid="{C1DFEF18-53C3-48D3-BBD1-07936E3EB36A}"/>
    <cellStyle name="20% - Accent3 2 2 2 2 3" xfId="4937" xr:uid="{00000000-0005-0000-0000-000048010000}"/>
    <cellStyle name="20% - Accent3 2 2 2 2 3 2" xfId="14263" xr:uid="{D4BC6346-5184-47D1-A235-C48B2052B1B4}"/>
    <cellStyle name="20% - Accent3 2 2 2 2 4" xfId="9527" xr:uid="{B82F9F3C-4714-4F10-BEB2-F90FC0563F53}"/>
    <cellStyle name="20% - Accent3 2 2 2 2 5" xfId="10046" xr:uid="{5166402C-8A94-4FF6-9834-AF4D03BAE517}"/>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2FA36DFD-056B-4861-94A1-7B3687234924}"/>
    <cellStyle name="20% - Accent3 2 2 2 3 2 3" xfId="12604" xr:uid="{DBA9F8BF-F739-4DF4-A93D-D3714F4A7AFD}"/>
    <cellStyle name="20% - Accent3 2 2 2 3 3" xfId="5350" xr:uid="{00000000-0005-0000-0000-00004C010000}"/>
    <cellStyle name="20% - Accent3 2 2 2 3 3 2" xfId="14676" xr:uid="{069526F3-BC7D-4B1C-99DF-377A62297E1F}"/>
    <cellStyle name="20% - Accent3 2 2 2 3 4" xfId="10459" xr:uid="{809E80F3-D57D-4631-A877-AA8795BDDFBE}"/>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2B6B9F57-D51E-4F27-9407-59AC5162374C}"/>
    <cellStyle name="20% - Accent3 2 2 2 4 2 3" xfId="13017" xr:uid="{F81A7350-635F-49D6-9B32-143983EA6178}"/>
    <cellStyle name="20% - Accent3 2 2 2 4 3" xfId="5763" xr:uid="{00000000-0005-0000-0000-000050010000}"/>
    <cellStyle name="20% - Accent3 2 2 2 4 3 2" xfId="15089" xr:uid="{417E6DB4-4F00-4477-A784-ECCD80C56271}"/>
    <cellStyle name="20% - Accent3 2 2 2 4 4" xfId="10872" xr:uid="{D2B4EF48-F620-471A-87B9-6C4FA374942A}"/>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E5C32C23-70F8-4E02-AA50-2BC6C17E5D7E}"/>
    <cellStyle name="20% - Accent3 2 2 2 5 2 3" xfId="13430" xr:uid="{36DF8F46-925C-48C9-8BDB-46B26E323CEB}"/>
    <cellStyle name="20% - Accent3 2 2 2 5 3" xfId="6176" xr:uid="{00000000-0005-0000-0000-000054010000}"/>
    <cellStyle name="20% - Accent3 2 2 2 5 3 2" xfId="15502" xr:uid="{658F6C40-40F2-4546-A547-14E4C4E072AC}"/>
    <cellStyle name="20% - Accent3 2 2 2 5 4" xfId="11285" xr:uid="{D6ABFD15-5226-441F-A6D3-6FB2233BC874}"/>
    <cellStyle name="20% - Accent3 2 2 2 6" xfId="2283" xr:uid="{00000000-0005-0000-0000-000055010000}"/>
    <cellStyle name="20% - Accent3 2 2 2 6 2" xfId="6589" xr:uid="{00000000-0005-0000-0000-000056010000}"/>
    <cellStyle name="20% - Accent3 2 2 2 6 2 2" xfId="15915" xr:uid="{7143BC92-37F6-4773-9E2A-DB394BEDFC7C}"/>
    <cellStyle name="20% - Accent3 2 2 2 6 3" xfId="11698" xr:uid="{FE470AD1-1D00-4A09-BF13-8F7AAD9E6DBC}"/>
    <cellStyle name="20% - Accent3 2 2 2 7" xfId="4523" xr:uid="{00000000-0005-0000-0000-000057010000}"/>
    <cellStyle name="20% - Accent3 2 2 2 7 2" xfId="13849" xr:uid="{9025A466-152A-473F-9CB8-9C54CF724A33}"/>
    <cellStyle name="20% - Accent3 2 2 2 8" xfId="9102" xr:uid="{77698EAD-FDE4-4105-BE80-980B5219F464}"/>
    <cellStyle name="20% - Accent3 2 2 2 9" xfId="9632" xr:uid="{A8BCA694-681F-44D5-BCBC-A0660DC7C58A}"/>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340C818F-73B3-4745-885E-1469ACD6DBEE}"/>
    <cellStyle name="20% - Accent3 2 2 3 2 3" xfId="12190" xr:uid="{14323884-AED7-4D92-9C0E-1841DBF34318}"/>
    <cellStyle name="20% - Accent3 2 2 3 3" xfId="4936" xr:uid="{00000000-0005-0000-0000-00005B010000}"/>
    <cellStyle name="20% - Accent3 2 2 3 3 2" xfId="14262" xr:uid="{3F835AD1-6BFE-482A-A1C6-0F3330D5D4C7}"/>
    <cellStyle name="20% - Accent3 2 2 3 4" xfId="9320" xr:uid="{BF070B19-D289-4211-B080-DBB621CAE7BA}"/>
    <cellStyle name="20% - Accent3 2 2 3 5" xfId="10045" xr:uid="{35D1A91D-EADD-4B1A-9F29-398E1BB33BD0}"/>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6280E13F-1C53-4619-98BF-6BF6FAE16CCD}"/>
    <cellStyle name="20% - Accent3 2 2 4 2 3" xfId="12603" xr:uid="{468040B8-FCDE-4A75-AD3B-A73F763E9DC4}"/>
    <cellStyle name="20% - Accent3 2 2 4 3" xfId="5349" xr:uid="{00000000-0005-0000-0000-00005F010000}"/>
    <cellStyle name="20% - Accent3 2 2 4 3 2" xfId="14675" xr:uid="{F74B3636-6CB2-4863-ADC7-CB4193681BEF}"/>
    <cellStyle name="20% - Accent3 2 2 4 4" xfId="10458" xr:uid="{01766961-61F1-4DC2-BB4D-06F0C52F365C}"/>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396B614D-405E-4710-8163-294AC09E11C8}"/>
    <cellStyle name="20% - Accent3 2 2 5 2 3" xfId="13016" xr:uid="{43218BA6-85D6-4B14-97F3-E803F678B5F1}"/>
    <cellStyle name="20% - Accent3 2 2 5 3" xfId="5762" xr:uid="{00000000-0005-0000-0000-000063010000}"/>
    <cellStyle name="20% - Accent3 2 2 5 3 2" xfId="15088" xr:uid="{EE57788E-3AB2-408B-A1FF-EC16FB05077F}"/>
    <cellStyle name="20% - Accent3 2 2 5 4" xfId="10871" xr:uid="{06F9C263-D085-440C-8EE3-53562FA51F46}"/>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8DB94A8B-0644-4908-B08D-94B3F7C9DBFE}"/>
    <cellStyle name="20% - Accent3 2 2 6 2 3" xfId="13429" xr:uid="{C350587F-D3CB-4C6D-80ED-DDD47CA8CC70}"/>
    <cellStyle name="20% - Accent3 2 2 6 3" xfId="6175" xr:uid="{00000000-0005-0000-0000-000067010000}"/>
    <cellStyle name="20% - Accent3 2 2 6 3 2" xfId="15501" xr:uid="{B0F21912-506E-4A4B-8703-323451AE4A4E}"/>
    <cellStyle name="20% - Accent3 2 2 6 4" xfId="11284" xr:uid="{9DF8285D-BA6C-4FA4-9E74-0240174112AF}"/>
    <cellStyle name="20% - Accent3 2 2 7" xfId="2282" xr:uid="{00000000-0005-0000-0000-000068010000}"/>
    <cellStyle name="20% - Accent3 2 2 7 2" xfId="6588" xr:uid="{00000000-0005-0000-0000-000069010000}"/>
    <cellStyle name="20% - Accent3 2 2 7 2 2" xfId="15914" xr:uid="{4DE61AC5-AF30-4F0E-969B-26AA68186223}"/>
    <cellStyle name="20% - Accent3 2 2 7 3" xfId="11697" xr:uid="{22BB4FD8-0190-40E3-A798-041EE68CF387}"/>
    <cellStyle name="20% - Accent3 2 2 8" xfId="4522" xr:uid="{00000000-0005-0000-0000-00006A010000}"/>
    <cellStyle name="20% - Accent3 2 2 8 2" xfId="13848" xr:uid="{52DCD8D1-3795-44EC-8E48-F6B788E2E422}"/>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792B507A-073F-4BAB-9CDF-BE1406324851}"/>
    <cellStyle name="20% - Accent3 2 3 2 2 3" xfId="12192" xr:uid="{77C608E2-97DB-4F26-90AA-2803AA4F2241}"/>
    <cellStyle name="20% - Accent3 2 3 2 3" xfId="4938" xr:uid="{00000000-0005-0000-0000-00006F010000}"/>
    <cellStyle name="20% - Accent3 2 3 2 3 2" xfId="14264" xr:uid="{A3E852F6-BF7E-4444-8697-042D6F00A73B}"/>
    <cellStyle name="20% - Accent3 2 3 2 4" xfId="9424" xr:uid="{C3588D98-6F24-4F2C-9F96-F34501405613}"/>
    <cellStyle name="20% - Accent3 2 3 2 5" xfId="10047" xr:uid="{F63F1898-FBB7-470C-AFB2-907988AFA6CC}"/>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B07A4990-BBA8-4F08-A392-BFCF7F70E23F}"/>
    <cellStyle name="20% - Accent3 2 3 3 2 3" xfId="12605" xr:uid="{C3AFE94D-9738-42C6-8542-0E24487F2076}"/>
    <cellStyle name="20% - Accent3 2 3 3 3" xfId="5351" xr:uid="{00000000-0005-0000-0000-000073010000}"/>
    <cellStyle name="20% - Accent3 2 3 3 3 2" xfId="14677" xr:uid="{B73F6D5D-BFD8-4CAF-A0AD-598964169E6B}"/>
    <cellStyle name="20% - Accent3 2 3 3 4" xfId="10460" xr:uid="{07593756-9B4A-418E-AB83-6CEE92527ACE}"/>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23A59FB5-7E7E-4EB9-B60B-299700A2CD8D}"/>
    <cellStyle name="20% - Accent3 2 3 4 2 3" xfId="13018" xr:uid="{DA01BF0E-1C1C-4ED9-AFC0-9AFC1B26A0B7}"/>
    <cellStyle name="20% - Accent3 2 3 4 3" xfId="5764" xr:uid="{00000000-0005-0000-0000-000077010000}"/>
    <cellStyle name="20% - Accent3 2 3 4 3 2" xfId="15090" xr:uid="{92900478-B8C2-42C2-BA2C-D4FF6F478797}"/>
    <cellStyle name="20% - Accent3 2 3 4 4" xfId="10873" xr:uid="{1DC4ECF8-46E7-4AF9-BD5B-7E7F5A47D1CB}"/>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069AE890-C543-4FC5-BCBA-76DC1E427F09}"/>
    <cellStyle name="20% - Accent3 2 3 5 2 3" xfId="13431" xr:uid="{F11F8560-6045-4F27-9A12-A526421D2E1F}"/>
    <cellStyle name="20% - Accent3 2 3 5 3" xfId="6177" xr:uid="{00000000-0005-0000-0000-00007B010000}"/>
    <cellStyle name="20% - Accent3 2 3 5 3 2" xfId="15503" xr:uid="{E9B819F8-9DC1-4645-875B-06F6DFC81FD0}"/>
    <cellStyle name="20% - Accent3 2 3 5 4" xfId="11286" xr:uid="{39378775-3EC6-4A7F-94A2-D45A0E9C582F}"/>
    <cellStyle name="20% - Accent3 2 3 6" xfId="2284" xr:uid="{00000000-0005-0000-0000-00007C010000}"/>
    <cellStyle name="20% - Accent3 2 3 6 2" xfId="6590" xr:uid="{00000000-0005-0000-0000-00007D010000}"/>
    <cellStyle name="20% - Accent3 2 3 6 2 2" xfId="15916" xr:uid="{222985CC-4622-44A0-9E4E-53FE0EC3715D}"/>
    <cellStyle name="20% - Accent3 2 3 6 3" xfId="11699" xr:uid="{17243EA1-E3C5-41BC-A90D-7E069DA7A119}"/>
    <cellStyle name="20% - Accent3 2 3 7" xfId="4524" xr:uid="{00000000-0005-0000-0000-00007E010000}"/>
    <cellStyle name="20% - Accent3 2 3 7 2" xfId="13850" xr:uid="{9060F7D1-10A6-4224-BA94-13ED0434A7EC}"/>
    <cellStyle name="20% - Accent3 2 3 8" xfId="8999" xr:uid="{2B5D0148-B6EA-4DEA-92B1-644886C27051}"/>
    <cellStyle name="20% - Accent3 2 3 9" xfId="9633" xr:uid="{3B3F7B8B-1CBB-4E38-B04E-05D0CFFEA353}"/>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004F3728-4F7C-4692-8D85-C447F40EA98E}"/>
    <cellStyle name="20% - Accent3 2 4 2 3" xfId="12189" xr:uid="{8D391CFC-D937-469F-BE16-100A2A8D0DB0}"/>
    <cellStyle name="20% - Accent3 2 4 3" xfId="4935" xr:uid="{00000000-0005-0000-0000-000082010000}"/>
    <cellStyle name="20% - Accent3 2 4 3 2" xfId="14261" xr:uid="{101EBB10-3D26-4B6F-BC70-48976D23B5B0}"/>
    <cellStyle name="20% - Accent3 2 4 4" xfId="9216" xr:uid="{A12C3877-5492-4CD3-AD22-81B3F0AB1EDD}"/>
    <cellStyle name="20% - Accent3 2 4 5" xfId="10044" xr:uid="{F0A21F32-32E0-4880-85D2-7D948D630E66}"/>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1583D34C-CCA0-4176-9103-5BB7AC9817EF}"/>
    <cellStyle name="20% - Accent3 2 5 2 3" xfId="12602" xr:uid="{A449EAA9-001E-4995-9B5D-93C8E7830BE9}"/>
    <cellStyle name="20% - Accent3 2 5 3" xfId="5348" xr:uid="{00000000-0005-0000-0000-000086010000}"/>
    <cellStyle name="20% - Accent3 2 5 3 2" xfId="14674" xr:uid="{9ACCF1F5-8268-4761-B399-9C2D5F106915}"/>
    <cellStyle name="20% - Accent3 2 5 4" xfId="10457" xr:uid="{E818E565-B6F4-4D60-929B-E6B15F9A6796}"/>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40BDEB5C-1D78-47F6-B54E-75690F2293E2}"/>
    <cellStyle name="20% - Accent3 2 6 2 3" xfId="13015" xr:uid="{1DA6B446-A78C-420C-B3EE-3A27D76DF5E1}"/>
    <cellStyle name="20% - Accent3 2 6 3" xfId="5761" xr:uid="{00000000-0005-0000-0000-00008A010000}"/>
    <cellStyle name="20% - Accent3 2 6 3 2" xfId="15087" xr:uid="{95210CC4-425D-4367-92ED-F813DA461BCA}"/>
    <cellStyle name="20% - Accent3 2 6 4" xfId="10870" xr:uid="{23D87CB7-54EB-4A0D-AF9A-D77ECF8A8A6E}"/>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D976FB40-9632-4AF3-85EF-65409EB123AC}"/>
    <cellStyle name="20% - Accent3 2 7 2 3" xfId="13428" xr:uid="{9FEC8C53-38F2-462E-86EC-D165D0F84207}"/>
    <cellStyle name="20% - Accent3 2 7 3" xfId="6174" xr:uid="{00000000-0005-0000-0000-00008E010000}"/>
    <cellStyle name="20% - Accent3 2 7 3 2" xfId="15500" xr:uid="{4935DEDD-A165-4653-8FBD-7ABC02592EE5}"/>
    <cellStyle name="20% - Accent3 2 7 4" xfId="11283" xr:uid="{0BA1EA86-53A7-4A1E-9536-B9E5762E2DF2}"/>
    <cellStyle name="20% - Accent3 2 8" xfId="2281" xr:uid="{00000000-0005-0000-0000-00008F010000}"/>
    <cellStyle name="20% - Accent3 2 8 2" xfId="6587" xr:uid="{00000000-0005-0000-0000-000090010000}"/>
    <cellStyle name="20% - Accent3 2 8 2 2" xfId="15913" xr:uid="{F233C209-34E4-4973-96C3-FC292418C492}"/>
    <cellStyle name="20% - Accent3 2 8 3" xfId="11696" xr:uid="{E104BD52-C112-4D4A-AB34-54CCE5D28672}"/>
    <cellStyle name="20% - Accent3 2 9" xfId="4521" xr:uid="{00000000-0005-0000-0000-000091010000}"/>
    <cellStyle name="20% - Accent3 2 9 2" xfId="13847" xr:uid="{1C6E325D-ADD9-473D-AF10-0B60FC6BF081}"/>
    <cellStyle name="20% - Accent3 3" xfId="22" xr:uid="{00000000-0005-0000-0000-000092010000}"/>
    <cellStyle name="20% - Accent3 3 10" xfId="9634" xr:uid="{44B871AA-E03A-4717-A7D8-E5346C37BFD3}"/>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7893CD2C-830B-4FA9-AF16-D9DC6E1E5E36}"/>
    <cellStyle name="20% - Accent3 3 2 2 2 3" xfId="12194" xr:uid="{7466F49C-1CC1-42D4-9F35-1D618340ED87}"/>
    <cellStyle name="20% - Accent3 3 2 2 3" xfId="4940" xr:uid="{00000000-0005-0000-0000-000097010000}"/>
    <cellStyle name="20% - Accent3 3 2 2 3 2" xfId="14266" xr:uid="{BEAB7DDF-95B2-4A3A-80E3-758F9F8A4553}"/>
    <cellStyle name="20% - Accent3 3 2 2 4" xfId="9497" xr:uid="{43A0E151-F418-49A1-AF18-121DEB02B6D4}"/>
    <cellStyle name="20% - Accent3 3 2 2 5" xfId="10049" xr:uid="{18B69561-5DA8-4F2A-BF5C-EE07A22FD93F}"/>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055BD9AF-0F2F-4F95-8BB9-C5E1B3171B39}"/>
    <cellStyle name="20% - Accent3 3 2 3 2 3" xfId="12607" xr:uid="{DA270848-9CB8-4BF2-9473-E4E24BC804C0}"/>
    <cellStyle name="20% - Accent3 3 2 3 3" xfId="5353" xr:uid="{00000000-0005-0000-0000-00009B010000}"/>
    <cellStyle name="20% - Accent3 3 2 3 3 2" xfId="14679" xr:uid="{E0F7A8AB-9296-463E-B21A-F1C066155AAC}"/>
    <cellStyle name="20% - Accent3 3 2 3 4" xfId="10462" xr:uid="{CAAAF7EF-3A5A-4AFE-9E56-1F8459D9105D}"/>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702568A2-B712-4DFB-B1BC-1C09DD90D898}"/>
    <cellStyle name="20% - Accent3 3 2 4 2 3" xfId="13020" xr:uid="{49ACF66D-BE88-4EB3-8E57-B3143E618BE1}"/>
    <cellStyle name="20% - Accent3 3 2 4 3" xfId="5766" xr:uid="{00000000-0005-0000-0000-00009F010000}"/>
    <cellStyle name="20% - Accent3 3 2 4 3 2" xfId="15092" xr:uid="{93ADAA85-2698-4CD7-AFBE-402726F5CC13}"/>
    <cellStyle name="20% - Accent3 3 2 4 4" xfId="10875" xr:uid="{9202D4CB-BFB4-4DBC-A3A8-F6FC58A73EEA}"/>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E6F2A10F-C631-437B-902A-220D9C6E01D3}"/>
    <cellStyle name="20% - Accent3 3 2 5 2 3" xfId="13433" xr:uid="{F063E7A6-3771-41EC-83C3-C3DC8C53A1A5}"/>
    <cellStyle name="20% - Accent3 3 2 5 3" xfId="6179" xr:uid="{00000000-0005-0000-0000-0000A3010000}"/>
    <cellStyle name="20% - Accent3 3 2 5 3 2" xfId="15505" xr:uid="{FE3BBEC4-34EB-42EA-8555-AE6F889DF60A}"/>
    <cellStyle name="20% - Accent3 3 2 5 4" xfId="11288" xr:uid="{285290FD-D758-477B-98FB-8AA1E51C88C3}"/>
    <cellStyle name="20% - Accent3 3 2 6" xfId="2286" xr:uid="{00000000-0005-0000-0000-0000A4010000}"/>
    <cellStyle name="20% - Accent3 3 2 6 2" xfId="6592" xr:uid="{00000000-0005-0000-0000-0000A5010000}"/>
    <cellStyle name="20% - Accent3 3 2 6 2 2" xfId="15918" xr:uid="{EF74116B-73AE-4B86-8146-C7B1055F4901}"/>
    <cellStyle name="20% - Accent3 3 2 6 3" xfId="11701" xr:uid="{101BCC8C-9993-47DD-B1D7-9CB6D2175318}"/>
    <cellStyle name="20% - Accent3 3 2 7" xfId="4526" xr:uid="{00000000-0005-0000-0000-0000A6010000}"/>
    <cellStyle name="20% - Accent3 3 2 7 2" xfId="13852" xr:uid="{2183C845-D1DD-42A2-9C23-B7B993FDBDB0}"/>
    <cellStyle name="20% - Accent3 3 2 8" xfId="9072" xr:uid="{422EC144-F6F8-460E-8B93-316BBF9707FB}"/>
    <cellStyle name="20% - Accent3 3 2 9" xfId="9635" xr:uid="{13FDE33F-21A6-459C-A58B-5F83EFADD76F}"/>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95A91B8E-C35F-41D5-8785-CC998D4ABA33}"/>
    <cellStyle name="20% - Accent3 3 3 2 3" xfId="12193" xr:uid="{BB765439-42F3-4B54-B2E3-818692604BB1}"/>
    <cellStyle name="20% - Accent3 3 3 3" xfId="4939" xr:uid="{00000000-0005-0000-0000-0000AA010000}"/>
    <cellStyle name="20% - Accent3 3 3 3 2" xfId="14265" xr:uid="{24AD7B79-F656-46D9-B10A-3C212B48E521}"/>
    <cellStyle name="20% - Accent3 3 3 4" xfId="9290" xr:uid="{8511D0A3-BAF4-4D49-BFEA-2ED828678819}"/>
    <cellStyle name="20% - Accent3 3 3 5" xfId="10048" xr:uid="{E7D47D70-BCD5-41D6-858E-1E10CEC68ED7}"/>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7A0DD8AF-F17D-4D75-9E73-43E72767711E}"/>
    <cellStyle name="20% - Accent3 3 4 2 3" xfId="12606" xr:uid="{F05F1E29-DF19-431B-92BB-24F4B773CC29}"/>
    <cellStyle name="20% - Accent3 3 4 3" xfId="5352" xr:uid="{00000000-0005-0000-0000-0000AE010000}"/>
    <cellStyle name="20% - Accent3 3 4 3 2" xfId="14678" xr:uid="{1B7FAEC8-AD66-4DF0-9F78-6151AE4C30FE}"/>
    <cellStyle name="20% - Accent3 3 4 4" xfId="10461" xr:uid="{87F90884-8935-4263-99B6-E1E6F6E74CFA}"/>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875C7042-5868-4910-A8F0-7252A558E9A9}"/>
    <cellStyle name="20% - Accent3 3 5 2 3" xfId="13019" xr:uid="{98F6A44D-2A3A-4A53-84D9-98BED089388E}"/>
    <cellStyle name="20% - Accent3 3 5 3" xfId="5765" xr:uid="{00000000-0005-0000-0000-0000B2010000}"/>
    <cellStyle name="20% - Accent3 3 5 3 2" xfId="15091" xr:uid="{A99E698E-BC7F-49A5-BF0C-294B6A41360C}"/>
    <cellStyle name="20% - Accent3 3 5 4" xfId="10874" xr:uid="{629E8260-47CA-4E4C-AAC8-D0B1579B5990}"/>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7F115889-274C-4BD5-B46D-FC179009CFF6}"/>
    <cellStyle name="20% - Accent3 3 6 2 3" xfId="13432" xr:uid="{CCC0B48B-039C-466C-84A0-4BE44D48FF07}"/>
    <cellStyle name="20% - Accent3 3 6 3" xfId="6178" xr:uid="{00000000-0005-0000-0000-0000B6010000}"/>
    <cellStyle name="20% - Accent3 3 6 3 2" xfId="15504" xr:uid="{BFB06254-F144-487B-B4DE-AC67F2A65651}"/>
    <cellStyle name="20% - Accent3 3 6 4" xfId="11287" xr:uid="{222D170E-E313-48DD-9841-826B61A01A6C}"/>
    <cellStyle name="20% - Accent3 3 7" xfId="2285" xr:uid="{00000000-0005-0000-0000-0000B7010000}"/>
    <cellStyle name="20% - Accent3 3 7 2" xfId="6591" xr:uid="{00000000-0005-0000-0000-0000B8010000}"/>
    <cellStyle name="20% - Accent3 3 7 2 2" xfId="15917" xr:uid="{2FC794AF-917E-4E5A-B36F-DB79B4599F16}"/>
    <cellStyle name="20% - Accent3 3 7 3" xfId="11700" xr:uid="{2791FC1B-9BE1-4FE2-8559-937DA97684F3}"/>
    <cellStyle name="20% - Accent3 3 8" xfId="4525" xr:uid="{00000000-0005-0000-0000-0000B9010000}"/>
    <cellStyle name="20% - Accent3 3 8 2" xfId="13851" xr:uid="{D43D6581-F78D-43C4-B834-4624CE489922}"/>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648B4F47-BB08-4882-ABB2-668D7C0E640A}"/>
    <cellStyle name="20% - Accent3 4 2 2 3" xfId="12195" xr:uid="{A6FADD33-01D6-4C86-B18B-C9C6CA36FB2D}"/>
    <cellStyle name="20% - Accent3 4 2 3" xfId="4941" xr:uid="{00000000-0005-0000-0000-0000BE010000}"/>
    <cellStyle name="20% - Accent3 4 2 3 2" xfId="14267" xr:uid="{4F5D88D2-CFE8-4080-8971-A841A2D2DE24}"/>
    <cellStyle name="20% - Accent3 4 2 4" xfId="9376" xr:uid="{92AC27CA-0B0B-4AFE-8457-D3F19BE2837F}"/>
    <cellStyle name="20% - Accent3 4 2 5" xfId="10050" xr:uid="{68930063-6EF2-4ACA-9C3E-7C9AD4B2BA0F}"/>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F3196E8F-142E-427D-8C0A-B5EFB7B4D055}"/>
    <cellStyle name="20% - Accent3 4 3 2 3" xfId="12608" xr:uid="{C5D37A6D-3F1F-4785-A478-61716A167A1D}"/>
    <cellStyle name="20% - Accent3 4 3 3" xfId="5354" xr:uid="{00000000-0005-0000-0000-0000C2010000}"/>
    <cellStyle name="20% - Accent3 4 3 3 2" xfId="14680" xr:uid="{AA62A04B-698C-4840-BB51-01DE833C1CF6}"/>
    <cellStyle name="20% - Accent3 4 3 4" xfId="10463" xr:uid="{E2FE3662-562F-42A6-85B9-20616D65345E}"/>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EC6C4DDF-6D98-42EA-9308-12FFC440B5CA}"/>
    <cellStyle name="20% - Accent3 4 4 2 3" xfId="13021" xr:uid="{0379A615-5B29-4624-B178-2D6E57F0AE19}"/>
    <cellStyle name="20% - Accent3 4 4 3" xfId="5767" xr:uid="{00000000-0005-0000-0000-0000C6010000}"/>
    <cellStyle name="20% - Accent3 4 4 3 2" xfId="15093" xr:uid="{F799B773-7058-412F-AFFF-22763D769FFD}"/>
    <cellStyle name="20% - Accent3 4 4 4" xfId="10876" xr:uid="{6298CFD6-A704-49A7-9157-716CAFFA7B42}"/>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FCB2A0C8-DB2C-418C-A31A-8A45EBBED884}"/>
    <cellStyle name="20% - Accent3 4 5 2 3" xfId="13434" xr:uid="{15302CA4-86CB-409C-91C0-0E0227152575}"/>
    <cellStyle name="20% - Accent3 4 5 3" xfId="6180" xr:uid="{00000000-0005-0000-0000-0000CA010000}"/>
    <cellStyle name="20% - Accent3 4 5 3 2" xfId="15506" xr:uid="{0215DD95-18CF-4845-9ABD-2B744018A79C}"/>
    <cellStyle name="20% - Accent3 4 5 4" xfId="11289" xr:uid="{CDF7A3D2-C893-4E82-B686-B70F859AF055}"/>
    <cellStyle name="20% - Accent3 4 6" xfId="2287" xr:uid="{00000000-0005-0000-0000-0000CB010000}"/>
    <cellStyle name="20% - Accent3 4 6 2" xfId="6593" xr:uid="{00000000-0005-0000-0000-0000CC010000}"/>
    <cellStyle name="20% - Accent3 4 6 2 2" xfId="15919" xr:uid="{16C3CFFF-3F0A-462C-8BEE-AE435EF8EF81}"/>
    <cellStyle name="20% - Accent3 4 6 3" xfId="11702" xr:uid="{5A792CEE-90BD-413D-8EB9-EA780E5BABEA}"/>
    <cellStyle name="20% - Accent3 4 7" xfId="4527" xr:uid="{00000000-0005-0000-0000-0000CD010000}"/>
    <cellStyle name="20% - Accent3 4 7 2" xfId="13853" xr:uid="{8CC06AB5-41A7-4A01-92EB-20AA580D5EB4}"/>
    <cellStyle name="20% - Accent3 4 8" xfId="8951" xr:uid="{3CB7770B-4F12-4C44-B65D-06C641FEE851}"/>
    <cellStyle name="20% - Accent3 4 9" xfId="9636" xr:uid="{DE9782D7-E385-497C-925A-08188A91C4B8}"/>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1BFC74BA-3D90-4F53-AC12-EBC6B52889B5}"/>
    <cellStyle name="20% - Accent3 5 2 3" xfId="12188" xr:uid="{AC6F1772-A755-4A37-91B0-C2B96A0DA931}"/>
    <cellStyle name="20% - Accent3 5 3" xfId="4934" xr:uid="{00000000-0005-0000-0000-0000D1010000}"/>
    <cellStyle name="20% - Accent3 5 3 2" xfId="14260" xr:uid="{CA0B99A5-5487-41F0-81CF-E30B7A1D88A3}"/>
    <cellStyle name="20% - Accent3 5 4" xfId="9184" xr:uid="{F51B2D95-9593-4370-A6D2-AFEF087D7920}"/>
    <cellStyle name="20% - Accent3 5 5" xfId="10043" xr:uid="{8CB6266A-39C2-4ADF-8567-6156930FC6F1}"/>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924A4EAE-57C1-454B-A046-4DA31F01694A}"/>
    <cellStyle name="20% - Accent3 6 2 3" xfId="12601" xr:uid="{624CDD8A-DD61-484E-8464-E4B26760B827}"/>
    <cellStyle name="20% - Accent3 6 3" xfId="5347" xr:uid="{00000000-0005-0000-0000-0000D5010000}"/>
    <cellStyle name="20% - Accent3 6 3 2" xfId="14673" xr:uid="{6DE07CB4-E9CF-400E-B018-738DAE71EAE7}"/>
    <cellStyle name="20% - Accent3 6 4" xfId="10456" xr:uid="{1D3A937F-D551-4173-B4EC-1AEF66DAB29C}"/>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82B23463-4893-4C78-A28F-42506D9B47F6}"/>
    <cellStyle name="20% - Accent3 7 2 3" xfId="13014" xr:uid="{A29EF4E9-EC74-479F-A674-3872EFBD789E}"/>
    <cellStyle name="20% - Accent3 7 3" xfId="5760" xr:uid="{00000000-0005-0000-0000-0000D9010000}"/>
    <cellStyle name="20% - Accent3 7 3 2" xfId="15086" xr:uid="{972B2243-0396-4B93-917A-B36B36DD0F1A}"/>
    <cellStyle name="20% - Accent3 7 4" xfId="10869" xr:uid="{ADAFCDC3-E5A4-4A42-BB15-A91358402CF6}"/>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8B4479C0-3793-4E27-A08F-90A30116C765}"/>
    <cellStyle name="20% - Accent3 8 2 3" xfId="13427" xr:uid="{CB267502-8389-4B18-AE1E-311A922FDEFA}"/>
    <cellStyle name="20% - Accent3 8 3" xfId="6173" xr:uid="{00000000-0005-0000-0000-0000DD010000}"/>
    <cellStyle name="20% - Accent3 8 3 2" xfId="15499" xr:uid="{EE5DA4B8-D9CA-4D31-9F18-366A6A155C69}"/>
    <cellStyle name="20% - Accent3 8 4" xfId="11282" xr:uid="{AC35668A-F489-4CC3-8F4D-100A8A0C2186}"/>
    <cellStyle name="20% - Accent3 9" xfId="2280" xr:uid="{00000000-0005-0000-0000-0000DE010000}"/>
    <cellStyle name="20% - Accent3 9 2" xfId="6586" xr:uid="{00000000-0005-0000-0000-0000DF010000}"/>
    <cellStyle name="20% - Accent3 9 2 2" xfId="15912" xr:uid="{F615E6CD-D14F-4FBE-91CB-566EB9BDAAEE}"/>
    <cellStyle name="20% - Accent3 9 3" xfId="11695" xr:uid="{A95B3D7A-21C6-4D64-AB70-68505B325FF9}"/>
    <cellStyle name="20% - Accent4" xfId="25" builtinId="42" customBuiltin="1"/>
    <cellStyle name="20% - Accent4 10" xfId="4528" xr:uid="{00000000-0005-0000-0000-0000E1010000}"/>
    <cellStyle name="20% - Accent4 10 2" xfId="13854" xr:uid="{A0405CCE-FA54-4D82-8F4F-44072BABBC8F}"/>
    <cellStyle name="20% - Accent4 11" xfId="8764" xr:uid="{4A9BF508-806C-496D-AEC5-5842E4A62892}"/>
    <cellStyle name="20% - Accent4 12" xfId="9637" xr:uid="{2742446D-9C6A-418C-BC6C-F074B27AC882}"/>
    <cellStyle name="20% - Accent4 2" xfId="26" xr:uid="{00000000-0005-0000-0000-0000E2010000}"/>
    <cellStyle name="20% - Accent4 2 10" xfId="8794" xr:uid="{31A2F477-5237-45C2-B43F-25AC049A95FF}"/>
    <cellStyle name="20% - Accent4 2 11" xfId="9638" xr:uid="{5E808FA5-6119-4B0E-B886-E7F8FF5B8FF6}"/>
    <cellStyle name="20% - Accent4 2 2" xfId="27" xr:uid="{00000000-0005-0000-0000-0000E3010000}"/>
    <cellStyle name="20% - Accent4 2 2 10" xfId="9639" xr:uid="{1F82C15C-397E-489A-815A-A71463710FBD}"/>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AB2C405D-35D3-4364-AEE0-987D6624E6DD}"/>
    <cellStyle name="20% - Accent4 2 2 2 2 2 3" xfId="12199" xr:uid="{150CE01A-4215-4013-9CFB-12D5C17DE536}"/>
    <cellStyle name="20% - Accent4 2 2 2 2 3" xfId="4945" xr:uid="{00000000-0005-0000-0000-0000E8010000}"/>
    <cellStyle name="20% - Accent4 2 2 2 2 3 2" xfId="14271" xr:uid="{C089302D-0523-4DC7-9D32-22CA8B927856}"/>
    <cellStyle name="20% - Accent4 2 2 2 2 4" xfId="9529" xr:uid="{0C40CE19-1873-4316-818D-CC943AAFBB7B}"/>
    <cellStyle name="20% - Accent4 2 2 2 2 5" xfId="10054" xr:uid="{DF20CC8D-E797-4263-9586-A8E75E69E187}"/>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E018DF48-CF6E-40A1-BF8B-8E9B17E346F0}"/>
    <cellStyle name="20% - Accent4 2 2 2 3 2 3" xfId="12612" xr:uid="{3324FB86-0C12-46A0-B1DC-40DF1C4635CD}"/>
    <cellStyle name="20% - Accent4 2 2 2 3 3" xfId="5358" xr:uid="{00000000-0005-0000-0000-0000EC010000}"/>
    <cellStyle name="20% - Accent4 2 2 2 3 3 2" xfId="14684" xr:uid="{3E172109-4A2A-4A50-B9BB-1145688DDEA2}"/>
    <cellStyle name="20% - Accent4 2 2 2 3 4" xfId="10467" xr:uid="{1AAC4121-62B3-4B77-8E17-B6A03A15BB8F}"/>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F76EB1B6-9E65-45AF-AE95-4CD7A2DAD646}"/>
    <cellStyle name="20% - Accent4 2 2 2 4 2 3" xfId="13025" xr:uid="{FC691633-09F1-4A8E-A863-523EB4F6607D}"/>
    <cellStyle name="20% - Accent4 2 2 2 4 3" xfId="5771" xr:uid="{00000000-0005-0000-0000-0000F0010000}"/>
    <cellStyle name="20% - Accent4 2 2 2 4 3 2" xfId="15097" xr:uid="{C933FDC1-EB3B-46BB-BEA9-B9E24DC6303E}"/>
    <cellStyle name="20% - Accent4 2 2 2 4 4" xfId="10880" xr:uid="{ED1F77D8-5F98-4AC4-808A-A308E760911E}"/>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7ACE12FA-99E6-4416-9629-98BB6E538696}"/>
    <cellStyle name="20% - Accent4 2 2 2 5 2 3" xfId="13438" xr:uid="{2CCD62D4-A4AF-4333-AED4-2802D4CAB679}"/>
    <cellStyle name="20% - Accent4 2 2 2 5 3" xfId="6184" xr:uid="{00000000-0005-0000-0000-0000F4010000}"/>
    <cellStyle name="20% - Accent4 2 2 2 5 3 2" xfId="15510" xr:uid="{4C35AEC0-BB25-44EC-BE90-07DE8073FFB9}"/>
    <cellStyle name="20% - Accent4 2 2 2 5 4" xfId="11293" xr:uid="{DF21583E-FFA5-47EF-BD7E-2FD6DF369D2A}"/>
    <cellStyle name="20% - Accent4 2 2 2 6" xfId="2291" xr:uid="{00000000-0005-0000-0000-0000F5010000}"/>
    <cellStyle name="20% - Accent4 2 2 2 6 2" xfId="6597" xr:uid="{00000000-0005-0000-0000-0000F6010000}"/>
    <cellStyle name="20% - Accent4 2 2 2 6 2 2" xfId="15923" xr:uid="{C981CD15-798C-4B0F-B0CE-C5F24BBC34FD}"/>
    <cellStyle name="20% - Accent4 2 2 2 6 3" xfId="11706" xr:uid="{E7136255-3A60-4CCA-91E4-A5749F7ECC35}"/>
    <cellStyle name="20% - Accent4 2 2 2 7" xfId="4531" xr:uid="{00000000-0005-0000-0000-0000F7010000}"/>
    <cellStyle name="20% - Accent4 2 2 2 7 2" xfId="13857" xr:uid="{F924453B-6B2B-4E02-BC95-03516C6E7EE9}"/>
    <cellStyle name="20% - Accent4 2 2 2 8" xfId="9104" xr:uid="{526BE306-22BA-4A85-81B2-34AEB56F0D90}"/>
    <cellStyle name="20% - Accent4 2 2 2 9" xfId="9640" xr:uid="{B94DFB67-2B30-4823-AB7A-E7ED826D6162}"/>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D0A1F7F7-6BE6-437C-A371-D8F45F683EC3}"/>
    <cellStyle name="20% - Accent4 2 2 3 2 3" xfId="12198" xr:uid="{1D439317-07A9-43AC-B9B4-5B1905AD78CF}"/>
    <cellStyle name="20% - Accent4 2 2 3 3" xfId="4944" xr:uid="{00000000-0005-0000-0000-0000FB010000}"/>
    <cellStyle name="20% - Accent4 2 2 3 3 2" xfId="14270" xr:uid="{F117CE46-A135-4B9D-871E-21C009F72118}"/>
    <cellStyle name="20% - Accent4 2 2 3 4" xfId="9322" xr:uid="{003BBE99-27AA-4036-A373-4475953A88F4}"/>
    <cellStyle name="20% - Accent4 2 2 3 5" xfId="10053" xr:uid="{CDB6EA2C-5C84-49C9-8A1D-F5F12967F422}"/>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8B8772E3-88AE-4030-A9F3-CFE8FEF5D9E3}"/>
    <cellStyle name="20% - Accent4 2 2 4 2 3" xfId="12611" xr:uid="{42503D30-BD74-4A60-969F-9FDD4D59CECD}"/>
    <cellStyle name="20% - Accent4 2 2 4 3" xfId="5357" xr:uid="{00000000-0005-0000-0000-0000FF010000}"/>
    <cellStyle name="20% - Accent4 2 2 4 3 2" xfId="14683" xr:uid="{3D76D794-61CA-4521-A8F9-293E8119F8C0}"/>
    <cellStyle name="20% - Accent4 2 2 4 4" xfId="10466" xr:uid="{7319C42D-D46D-432E-B196-0F83DD8CB981}"/>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097B892F-D3C1-4965-9164-52B8F0AD786C}"/>
    <cellStyle name="20% - Accent4 2 2 5 2 3" xfId="13024" xr:uid="{B863BAB5-6074-4E2D-AD3B-67E9D47AC633}"/>
    <cellStyle name="20% - Accent4 2 2 5 3" xfId="5770" xr:uid="{00000000-0005-0000-0000-000003020000}"/>
    <cellStyle name="20% - Accent4 2 2 5 3 2" xfId="15096" xr:uid="{821AA6D7-0432-4039-823A-0873DBE51C5C}"/>
    <cellStyle name="20% - Accent4 2 2 5 4" xfId="10879" xr:uid="{74FAEE98-C789-4E35-B63C-2165E1BCEAB3}"/>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61454652-EF91-47DD-A517-6533F96953AE}"/>
    <cellStyle name="20% - Accent4 2 2 6 2 3" xfId="13437" xr:uid="{7C37C4A7-06A2-4442-9494-D89E6641807A}"/>
    <cellStyle name="20% - Accent4 2 2 6 3" xfId="6183" xr:uid="{00000000-0005-0000-0000-000007020000}"/>
    <cellStyle name="20% - Accent4 2 2 6 3 2" xfId="15509" xr:uid="{DC854FBC-135E-4F0C-A4D5-06BCB8B2953D}"/>
    <cellStyle name="20% - Accent4 2 2 6 4" xfId="11292" xr:uid="{C0D5DAF7-3F34-486C-B88F-9089B3232E64}"/>
    <cellStyle name="20% - Accent4 2 2 7" xfId="2290" xr:uid="{00000000-0005-0000-0000-000008020000}"/>
    <cellStyle name="20% - Accent4 2 2 7 2" xfId="6596" xr:uid="{00000000-0005-0000-0000-000009020000}"/>
    <cellStyle name="20% - Accent4 2 2 7 2 2" xfId="15922" xr:uid="{A0820B58-F1E3-4904-A521-80A0BF5CA3B0}"/>
    <cellStyle name="20% - Accent4 2 2 7 3" xfId="11705" xr:uid="{1589409C-7EFC-4C1D-ACF5-99918C5CE30B}"/>
    <cellStyle name="20% - Accent4 2 2 8" xfId="4530" xr:uid="{00000000-0005-0000-0000-00000A020000}"/>
    <cellStyle name="20% - Accent4 2 2 8 2" xfId="13856" xr:uid="{F19D066B-37EA-44BF-BC2E-9FF3AF6C1BB4}"/>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840AF680-0A03-4AAA-A4B2-AACAAC41BE82}"/>
    <cellStyle name="20% - Accent4 2 3 2 2 3" xfId="12200" xr:uid="{5321E637-4573-4C0F-9126-3611867E4D48}"/>
    <cellStyle name="20% - Accent4 2 3 2 3" xfId="4946" xr:uid="{00000000-0005-0000-0000-00000F020000}"/>
    <cellStyle name="20% - Accent4 2 3 2 3 2" xfId="14272" xr:uid="{BFEBC8ED-287A-4528-9798-E2310ACBFC4E}"/>
    <cellStyle name="20% - Accent4 2 3 2 4" xfId="9426" xr:uid="{5B247D51-FBFD-4799-8395-E3F1C04297B8}"/>
    <cellStyle name="20% - Accent4 2 3 2 5" xfId="10055" xr:uid="{99E5516F-E80B-494E-B6C9-22ECA9765A2B}"/>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4E55F84D-A73D-4D25-91D0-2E5B93B78B01}"/>
    <cellStyle name="20% - Accent4 2 3 3 2 3" xfId="12613" xr:uid="{4A8B68C6-8A2C-44B0-ABCC-41C0A628D81E}"/>
    <cellStyle name="20% - Accent4 2 3 3 3" xfId="5359" xr:uid="{00000000-0005-0000-0000-000013020000}"/>
    <cellStyle name="20% - Accent4 2 3 3 3 2" xfId="14685" xr:uid="{9F1CB223-5F00-4A3A-AA1A-EB9BD5D7A6A3}"/>
    <cellStyle name="20% - Accent4 2 3 3 4" xfId="10468" xr:uid="{CC1E0BF2-CD7E-4451-B555-3BF54D27B194}"/>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03BC2BEE-EC57-4DE1-951E-07DC93EFFA55}"/>
    <cellStyle name="20% - Accent4 2 3 4 2 3" xfId="13026" xr:uid="{B19C649D-C9A6-47BB-9E16-A79DE930BCB9}"/>
    <cellStyle name="20% - Accent4 2 3 4 3" xfId="5772" xr:uid="{00000000-0005-0000-0000-000017020000}"/>
    <cellStyle name="20% - Accent4 2 3 4 3 2" xfId="15098" xr:uid="{634D8148-F990-4F71-8A16-073A00C9DC41}"/>
    <cellStyle name="20% - Accent4 2 3 4 4" xfId="10881" xr:uid="{43EB9217-A39D-4AB0-AE39-FDB14F8456E5}"/>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3E0C93D6-269D-4B04-997D-166848656B5C}"/>
    <cellStyle name="20% - Accent4 2 3 5 2 3" xfId="13439" xr:uid="{93D0A585-3D5E-4EB9-8D30-CF2B74DFB747}"/>
    <cellStyle name="20% - Accent4 2 3 5 3" xfId="6185" xr:uid="{00000000-0005-0000-0000-00001B020000}"/>
    <cellStyle name="20% - Accent4 2 3 5 3 2" xfId="15511" xr:uid="{019529D1-3B66-45F8-8660-484E5F581844}"/>
    <cellStyle name="20% - Accent4 2 3 5 4" xfId="11294" xr:uid="{A7C0D4F8-EDA7-42F7-8E5A-97708171FCB2}"/>
    <cellStyle name="20% - Accent4 2 3 6" xfId="2292" xr:uid="{00000000-0005-0000-0000-00001C020000}"/>
    <cellStyle name="20% - Accent4 2 3 6 2" xfId="6598" xr:uid="{00000000-0005-0000-0000-00001D020000}"/>
    <cellStyle name="20% - Accent4 2 3 6 2 2" xfId="15924" xr:uid="{25B28D73-E240-43DB-B8EA-8D82C3D34E13}"/>
    <cellStyle name="20% - Accent4 2 3 6 3" xfId="11707" xr:uid="{23B1CAAD-510E-4BE8-8BDC-BAB80E3134B3}"/>
    <cellStyle name="20% - Accent4 2 3 7" xfId="4532" xr:uid="{00000000-0005-0000-0000-00001E020000}"/>
    <cellStyle name="20% - Accent4 2 3 7 2" xfId="13858" xr:uid="{47DA7445-34CE-462C-A269-F220D873C8E5}"/>
    <cellStyle name="20% - Accent4 2 3 8" xfId="9001" xr:uid="{B9DE6BBA-06E2-4FC8-B645-F20E60244072}"/>
    <cellStyle name="20% - Accent4 2 3 9" xfId="9641" xr:uid="{6AFA82CB-D653-41B2-AA01-8A72614581B6}"/>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74610581-7501-4609-A1E1-57CC1B74B544}"/>
    <cellStyle name="20% - Accent4 2 4 2 3" xfId="12197" xr:uid="{E3B86E2D-BFDD-459B-A0E8-0E8C177B8F42}"/>
    <cellStyle name="20% - Accent4 2 4 3" xfId="4943" xr:uid="{00000000-0005-0000-0000-000022020000}"/>
    <cellStyle name="20% - Accent4 2 4 3 2" xfId="14269" xr:uid="{C05901C2-BE3D-4688-8AE5-F37A78F19B6A}"/>
    <cellStyle name="20% - Accent4 2 4 4" xfId="9218" xr:uid="{EEA9CEE5-7B27-41EB-B571-13D0ADC44445}"/>
    <cellStyle name="20% - Accent4 2 4 5" xfId="10052" xr:uid="{B07B1087-EEBA-474C-8FAA-F2EDAA7A5DA8}"/>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CB78979D-4485-4C71-9F9D-C5F057374D74}"/>
    <cellStyle name="20% - Accent4 2 5 2 3" xfId="12610" xr:uid="{D1027899-71A0-4BD7-8EAC-F958AE055A41}"/>
    <cellStyle name="20% - Accent4 2 5 3" xfId="5356" xr:uid="{00000000-0005-0000-0000-000026020000}"/>
    <cellStyle name="20% - Accent4 2 5 3 2" xfId="14682" xr:uid="{FD9D51A9-085C-4E6E-AD8D-4586388A8F63}"/>
    <cellStyle name="20% - Accent4 2 5 4" xfId="10465" xr:uid="{663078C8-73E0-4309-A04C-65F9DAE1C45B}"/>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E2A70A17-F67A-4AA4-BB3F-7B0333E3BE57}"/>
    <cellStyle name="20% - Accent4 2 6 2 3" xfId="13023" xr:uid="{1537B275-084D-4347-A9A1-CDAEE6AA085A}"/>
    <cellStyle name="20% - Accent4 2 6 3" xfId="5769" xr:uid="{00000000-0005-0000-0000-00002A020000}"/>
    <cellStyle name="20% - Accent4 2 6 3 2" xfId="15095" xr:uid="{A9FFC35B-D6A0-4598-BB3A-A74B8C7163BB}"/>
    <cellStyle name="20% - Accent4 2 6 4" xfId="10878" xr:uid="{4223F628-EF76-4F30-A113-E661D9194D30}"/>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3E4B5C05-A21E-40CD-8487-48DA57B0425F}"/>
    <cellStyle name="20% - Accent4 2 7 2 3" xfId="13436" xr:uid="{5556556D-FC17-42B1-AC8B-9FC338924854}"/>
    <cellStyle name="20% - Accent4 2 7 3" xfId="6182" xr:uid="{00000000-0005-0000-0000-00002E020000}"/>
    <cellStyle name="20% - Accent4 2 7 3 2" xfId="15508" xr:uid="{20B864CC-5DB3-4479-8229-B91E934F4A7B}"/>
    <cellStyle name="20% - Accent4 2 7 4" xfId="11291" xr:uid="{8C338A05-73A1-4B24-9873-BE21C5A0409C}"/>
    <cellStyle name="20% - Accent4 2 8" xfId="2289" xr:uid="{00000000-0005-0000-0000-00002F020000}"/>
    <cellStyle name="20% - Accent4 2 8 2" xfId="6595" xr:uid="{00000000-0005-0000-0000-000030020000}"/>
    <cellStyle name="20% - Accent4 2 8 2 2" xfId="15921" xr:uid="{8D02130B-DF47-4FD5-9250-014D7E344EAC}"/>
    <cellStyle name="20% - Accent4 2 8 3" xfId="11704" xr:uid="{BF748988-7CBD-40E6-B688-956465D44CF8}"/>
    <cellStyle name="20% - Accent4 2 9" xfId="4529" xr:uid="{00000000-0005-0000-0000-000031020000}"/>
    <cellStyle name="20% - Accent4 2 9 2" xfId="13855" xr:uid="{1C1A6C21-E065-43F5-A836-9E4BD49296A0}"/>
    <cellStyle name="20% - Accent4 3" xfId="30" xr:uid="{00000000-0005-0000-0000-000032020000}"/>
    <cellStyle name="20% - Accent4 3 10" xfId="9642" xr:uid="{02AE192E-394F-48B9-9C7E-00B64A1A7595}"/>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A4E9DB59-1E89-422E-9CBB-11085837E94E}"/>
    <cellStyle name="20% - Accent4 3 2 2 2 3" xfId="12202" xr:uid="{AAB06F68-879F-464F-B287-61BA87ACAF66}"/>
    <cellStyle name="20% - Accent4 3 2 2 3" xfId="4948" xr:uid="{00000000-0005-0000-0000-000037020000}"/>
    <cellStyle name="20% - Accent4 3 2 2 3 2" xfId="14274" xr:uid="{ADAD9207-DF30-402F-A72A-259A588120A9}"/>
    <cellStyle name="20% - Accent4 3 2 2 4" xfId="9499" xr:uid="{019308F4-938B-408B-A627-483AF94276A0}"/>
    <cellStyle name="20% - Accent4 3 2 2 5" xfId="10057" xr:uid="{06468DB1-D072-4155-8861-B5104766387A}"/>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9AD04AAD-2861-4199-A1A2-48FBDD19385A}"/>
    <cellStyle name="20% - Accent4 3 2 3 2 3" xfId="12615" xr:uid="{E551A2F3-E1FC-475E-A708-1F6604EA7E14}"/>
    <cellStyle name="20% - Accent4 3 2 3 3" xfId="5361" xr:uid="{00000000-0005-0000-0000-00003B020000}"/>
    <cellStyle name="20% - Accent4 3 2 3 3 2" xfId="14687" xr:uid="{1C4C4A11-1D99-4FA6-81F5-7A39F48AA665}"/>
    <cellStyle name="20% - Accent4 3 2 3 4" xfId="10470" xr:uid="{AD8E0F30-0C45-4D61-8BBD-0172124EEAEF}"/>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314FA0AE-2ED1-4C28-AF7C-738BA0700ED8}"/>
    <cellStyle name="20% - Accent4 3 2 4 2 3" xfId="13028" xr:uid="{76AFD207-9F78-4502-90BE-BF647FBD0249}"/>
    <cellStyle name="20% - Accent4 3 2 4 3" xfId="5774" xr:uid="{00000000-0005-0000-0000-00003F020000}"/>
    <cellStyle name="20% - Accent4 3 2 4 3 2" xfId="15100" xr:uid="{A04BBB0B-802C-48D8-A90D-9FA4EAE11377}"/>
    <cellStyle name="20% - Accent4 3 2 4 4" xfId="10883" xr:uid="{C6C4F5B5-9DB3-42FD-86E0-7A1EB9D304B3}"/>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536FB937-9C40-432B-8D50-2D822FA03166}"/>
    <cellStyle name="20% - Accent4 3 2 5 2 3" xfId="13441" xr:uid="{90489444-6B1A-4568-AFF5-7D094CCE4EBE}"/>
    <cellStyle name="20% - Accent4 3 2 5 3" xfId="6187" xr:uid="{00000000-0005-0000-0000-000043020000}"/>
    <cellStyle name="20% - Accent4 3 2 5 3 2" xfId="15513" xr:uid="{05B29F30-6BDA-4DCD-B670-454167F1BB98}"/>
    <cellStyle name="20% - Accent4 3 2 5 4" xfId="11296" xr:uid="{27CD6F59-B1E6-4A36-A173-20D5F4332429}"/>
    <cellStyle name="20% - Accent4 3 2 6" xfId="2294" xr:uid="{00000000-0005-0000-0000-000044020000}"/>
    <cellStyle name="20% - Accent4 3 2 6 2" xfId="6600" xr:uid="{00000000-0005-0000-0000-000045020000}"/>
    <cellStyle name="20% - Accent4 3 2 6 2 2" xfId="15926" xr:uid="{8A25D1D1-E19C-47E7-8ADC-DAF1A665FEF7}"/>
    <cellStyle name="20% - Accent4 3 2 6 3" xfId="11709" xr:uid="{C3329DDF-C45F-4966-82D0-F6F205918530}"/>
    <cellStyle name="20% - Accent4 3 2 7" xfId="4534" xr:uid="{00000000-0005-0000-0000-000046020000}"/>
    <cellStyle name="20% - Accent4 3 2 7 2" xfId="13860" xr:uid="{F19A6CC0-8DC8-47CE-AC0F-2C5D60B6A5D6}"/>
    <cellStyle name="20% - Accent4 3 2 8" xfId="9074" xr:uid="{BA25EAA8-2B5F-4309-91A3-FC61FCEF209C}"/>
    <cellStyle name="20% - Accent4 3 2 9" xfId="9643" xr:uid="{40466065-E1D4-42E6-8B7D-630FB1A1B42B}"/>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4A4A681F-EBAF-4006-BB91-3667D8E54D15}"/>
    <cellStyle name="20% - Accent4 3 3 2 3" xfId="12201" xr:uid="{B3ABEA73-441B-4D38-B5BC-07654D056618}"/>
    <cellStyle name="20% - Accent4 3 3 3" xfId="4947" xr:uid="{00000000-0005-0000-0000-00004A020000}"/>
    <cellStyle name="20% - Accent4 3 3 3 2" xfId="14273" xr:uid="{6C2A88AF-8139-4A20-8BCF-A88BFA4BC2FB}"/>
    <cellStyle name="20% - Accent4 3 3 4" xfId="9292" xr:uid="{E33AB5E9-A8F9-45CB-AD95-0E461E901C30}"/>
    <cellStyle name="20% - Accent4 3 3 5" xfId="10056" xr:uid="{DA5B1D39-DBAF-4A03-9C66-6453785CD75B}"/>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3ECAA303-6EB2-442D-A3AD-21BC6CB36D2B}"/>
    <cellStyle name="20% - Accent4 3 4 2 3" xfId="12614" xr:uid="{53697C38-DA79-4EA4-963C-BF3DB512D508}"/>
    <cellStyle name="20% - Accent4 3 4 3" xfId="5360" xr:uid="{00000000-0005-0000-0000-00004E020000}"/>
    <cellStyle name="20% - Accent4 3 4 3 2" xfId="14686" xr:uid="{022140FD-39B7-459A-B753-86586D9D1FCD}"/>
    <cellStyle name="20% - Accent4 3 4 4" xfId="10469" xr:uid="{B1916C46-2EFE-4F9B-BD08-3BCD3CC3CFC2}"/>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872A4B88-4A16-4F3D-BAA9-00EAA907DAB4}"/>
    <cellStyle name="20% - Accent4 3 5 2 3" xfId="13027" xr:uid="{DEC93937-1A9A-4D65-A177-0EE008B8F125}"/>
    <cellStyle name="20% - Accent4 3 5 3" xfId="5773" xr:uid="{00000000-0005-0000-0000-000052020000}"/>
    <cellStyle name="20% - Accent4 3 5 3 2" xfId="15099" xr:uid="{5BB9F9BE-27FF-4F28-B314-EF894C9CFB37}"/>
    <cellStyle name="20% - Accent4 3 5 4" xfId="10882" xr:uid="{BF896F97-EFD1-45D6-A42F-EA017E6E1585}"/>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ABD0DF45-0EEC-4750-9CD5-F81F20D4715C}"/>
    <cellStyle name="20% - Accent4 3 6 2 3" xfId="13440" xr:uid="{431DCA75-2F7C-4E48-9B18-4BC55F3EAF4A}"/>
    <cellStyle name="20% - Accent4 3 6 3" xfId="6186" xr:uid="{00000000-0005-0000-0000-000056020000}"/>
    <cellStyle name="20% - Accent4 3 6 3 2" xfId="15512" xr:uid="{7F10F107-EA73-4874-98BE-F90E6BABAE78}"/>
    <cellStyle name="20% - Accent4 3 6 4" xfId="11295" xr:uid="{F90EA366-F2BA-4E85-A7F4-360B90291CA2}"/>
    <cellStyle name="20% - Accent4 3 7" xfId="2293" xr:uid="{00000000-0005-0000-0000-000057020000}"/>
    <cellStyle name="20% - Accent4 3 7 2" xfId="6599" xr:uid="{00000000-0005-0000-0000-000058020000}"/>
    <cellStyle name="20% - Accent4 3 7 2 2" xfId="15925" xr:uid="{D5021C44-B01F-4743-8EB9-0E982E20A856}"/>
    <cellStyle name="20% - Accent4 3 7 3" xfId="11708" xr:uid="{FA8FA2A5-4807-4111-8C90-2C9ECF99E91E}"/>
    <cellStyle name="20% - Accent4 3 8" xfId="4533" xr:uid="{00000000-0005-0000-0000-000059020000}"/>
    <cellStyle name="20% - Accent4 3 8 2" xfId="13859" xr:uid="{D0AED216-1108-4580-B250-FA9DC276E0AA}"/>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5873CC11-A9C9-467B-9B3C-4400CE9E0354}"/>
    <cellStyle name="20% - Accent4 4 2 2 3" xfId="12203" xr:uid="{FFAE1F93-39CC-4C0C-863E-BB35918722DF}"/>
    <cellStyle name="20% - Accent4 4 2 3" xfId="4949" xr:uid="{00000000-0005-0000-0000-00005E020000}"/>
    <cellStyle name="20% - Accent4 4 2 3 2" xfId="14275" xr:uid="{053DFD0D-5A39-40F3-992A-061A39AC327D}"/>
    <cellStyle name="20% - Accent4 4 2 4" xfId="9378" xr:uid="{761B3D4A-2751-4646-8A50-05A0DD408525}"/>
    <cellStyle name="20% - Accent4 4 2 5" xfId="10058" xr:uid="{E38F7A65-A193-42A6-9A6A-14C944853F46}"/>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08F18050-1CD3-40A5-93E0-40E30D209A75}"/>
    <cellStyle name="20% - Accent4 4 3 2 3" xfId="12616" xr:uid="{C338D705-6864-4DB8-9F01-D8CD37D0F89A}"/>
    <cellStyle name="20% - Accent4 4 3 3" xfId="5362" xr:uid="{00000000-0005-0000-0000-000062020000}"/>
    <cellStyle name="20% - Accent4 4 3 3 2" xfId="14688" xr:uid="{08E2F0A6-A835-4691-8FAC-646C850F1804}"/>
    <cellStyle name="20% - Accent4 4 3 4" xfId="10471" xr:uid="{011031A1-8FD5-4222-BCC1-FA97ED089515}"/>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25E8F52C-A499-418B-BAA1-3E080E9A8D9E}"/>
    <cellStyle name="20% - Accent4 4 4 2 3" xfId="13029" xr:uid="{75DFB17F-79B8-4CCC-B2AB-8DF209BEEB68}"/>
    <cellStyle name="20% - Accent4 4 4 3" xfId="5775" xr:uid="{00000000-0005-0000-0000-000066020000}"/>
    <cellStyle name="20% - Accent4 4 4 3 2" xfId="15101" xr:uid="{54F4D7A7-6D06-47FA-930F-E5A765B09E0D}"/>
    <cellStyle name="20% - Accent4 4 4 4" xfId="10884" xr:uid="{F1739B3B-4F24-4C36-8043-62FA7231F837}"/>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FA589C59-0191-461F-BB31-A92F4C21FF34}"/>
    <cellStyle name="20% - Accent4 4 5 2 3" xfId="13442" xr:uid="{E9DEBCE5-43DA-473E-AFB8-D5C1F0584A36}"/>
    <cellStyle name="20% - Accent4 4 5 3" xfId="6188" xr:uid="{00000000-0005-0000-0000-00006A020000}"/>
    <cellStyle name="20% - Accent4 4 5 3 2" xfId="15514" xr:uid="{4FB99BB4-6F34-4022-BDFC-C70B61C2301C}"/>
    <cellStyle name="20% - Accent4 4 5 4" xfId="11297" xr:uid="{7D3F6966-341F-4700-941C-5D2820577D5A}"/>
    <cellStyle name="20% - Accent4 4 6" xfId="2295" xr:uid="{00000000-0005-0000-0000-00006B020000}"/>
    <cellStyle name="20% - Accent4 4 6 2" xfId="6601" xr:uid="{00000000-0005-0000-0000-00006C020000}"/>
    <cellStyle name="20% - Accent4 4 6 2 2" xfId="15927" xr:uid="{B394D21E-967F-4EF1-ADEE-AD6DE3A5239D}"/>
    <cellStyle name="20% - Accent4 4 6 3" xfId="11710" xr:uid="{F4E47146-30D4-4E96-A082-6E5BA2FCB602}"/>
    <cellStyle name="20% - Accent4 4 7" xfId="4535" xr:uid="{00000000-0005-0000-0000-00006D020000}"/>
    <cellStyle name="20% - Accent4 4 7 2" xfId="13861" xr:uid="{97555FFC-E528-44FB-8226-D4CAB16F6B87}"/>
    <cellStyle name="20% - Accent4 4 8" xfId="8953" xr:uid="{66D1590A-BB3A-4B79-BA94-169F97E79370}"/>
    <cellStyle name="20% - Accent4 4 9" xfId="9644" xr:uid="{B6792223-CF65-4841-BA65-16FBF2849DBF}"/>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26E4C035-8D65-499A-A716-E53F7EB3FD70}"/>
    <cellStyle name="20% - Accent4 5 2 3" xfId="12196" xr:uid="{C18A5D24-8546-42CC-988E-398782C32A5B}"/>
    <cellStyle name="20% - Accent4 5 3" xfId="4942" xr:uid="{00000000-0005-0000-0000-000071020000}"/>
    <cellStyle name="20% - Accent4 5 3 2" xfId="14268" xr:uid="{68CCB57F-7E23-4040-A462-F4719C79F55D}"/>
    <cellStyle name="20% - Accent4 5 4" xfId="9186" xr:uid="{E62ED282-F767-404B-ADA1-4F8E5B4D01EB}"/>
    <cellStyle name="20% - Accent4 5 5" xfId="10051" xr:uid="{CBF0E4A6-93EE-4510-ADC2-2D53532339AB}"/>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A166789F-7EC4-4E8A-B1E3-2FAD58B588E2}"/>
    <cellStyle name="20% - Accent4 6 2 3" xfId="12609" xr:uid="{349F2233-C1E2-41CE-9679-B8C7A837BE55}"/>
    <cellStyle name="20% - Accent4 6 3" xfId="5355" xr:uid="{00000000-0005-0000-0000-000075020000}"/>
    <cellStyle name="20% - Accent4 6 3 2" xfId="14681" xr:uid="{41F88C56-DD71-4ACD-B2D2-84AA8EB24D85}"/>
    <cellStyle name="20% - Accent4 6 4" xfId="10464" xr:uid="{175F53F9-000C-4AC3-9561-5FDDD1B59AD6}"/>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96C49D72-3F44-4031-B9BA-A881FF28670B}"/>
    <cellStyle name="20% - Accent4 7 2 3" xfId="13022" xr:uid="{99AC0FAC-FA20-402D-97F9-4E7AFCD23FD6}"/>
    <cellStyle name="20% - Accent4 7 3" xfId="5768" xr:uid="{00000000-0005-0000-0000-000079020000}"/>
    <cellStyle name="20% - Accent4 7 3 2" xfId="15094" xr:uid="{0F4568E5-204F-4838-953D-EE0BCD83D965}"/>
    <cellStyle name="20% - Accent4 7 4" xfId="10877" xr:uid="{7F7187DC-3883-476D-801D-1F0944028E26}"/>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03280000-A2F8-4363-B6E9-BDDDF3BCB5AF}"/>
    <cellStyle name="20% - Accent4 8 2 3" xfId="13435" xr:uid="{650AB3DE-4619-40E2-8CA6-A8B27FD74361}"/>
    <cellStyle name="20% - Accent4 8 3" xfId="6181" xr:uid="{00000000-0005-0000-0000-00007D020000}"/>
    <cellStyle name="20% - Accent4 8 3 2" xfId="15507" xr:uid="{B9EB5284-586C-428D-BA0C-ABF370CDBF64}"/>
    <cellStyle name="20% - Accent4 8 4" xfId="11290" xr:uid="{A809DD06-3902-4DA6-861C-943931314678}"/>
    <cellStyle name="20% - Accent4 9" xfId="2288" xr:uid="{00000000-0005-0000-0000-00007E020000}"/>
    <cellStyle name="20% - Accent4 9 2" xfId="6594" xr:uid="{00000000-0005-0000-0000-00007F020000}"/>
    <cellStyle name="20% - Accent4 9 2 2" xfId="15920" xr:uid="{4B80B87D-39E7-462D-9D20-08AB9064427A}"/>
    <cellStyle name="20% - Accent4 9 3" xfId="11703" xr:uid="{F3ED5442-EE10-4D86-9340-67C085F3910E}"/>
    <cellStyle name="20% - Accent5" xfId="33" builtinId="46" customBuiltin="1"/>
    <cellStyle name="20% - Accent5 10" xfId="4536" xr:uid="{00000000-0005-0000-0000-000081020000}"/>
    <cellStyle name="20% - Accent5 10 2" xfId="13862" xr:uid="{AD43F82D-85C0-4C68-BB80-4A4F8BB8B648}"/>
    <cellStyle name="20% - Accent5 11" xfId="8766" xr:uid="{A87C980D-48BC-4AA3-98F7-53B2F02F228C}"/>
    <cellStyle name="20% - Accent5 12" xfId="9645" xr:uid="{FCC3AF36-186A-439E-9765-5DA189B17186}"/>
    <cellStyle name="20% - Accent5 2" xfId="34" xr:uid="{00000000-0005-0000-0000-000082020000}"/>
    <cellStyle name="20% - Accent5 2 10" xfId="8796" xr:uid="{5BBF4372-A7B1-47A0-AC3D-4A60EDC1A5F8}"/>
    <cellStyle name="20% - Accent5 2 11" xfId="9646" xr:uid="{E49296A4-BE45-4C4E-87E5-D0AA0990A403}"/>
    <cellStyle name="20% - Accent5 2 2" xfId="35" xr:uid="{00000000-0005-0000-0000-000083020000}"/>
    <cellStyle name="20% - Accent5 2 2 10" xfId="9647" xr:uid="{B4B9C9B0-860F-42A5-A1D4-EA188A32549A}"/>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B9E5F1DB-175A-4631-AEC6-C146B4C91499}"/>
    <cellStyle name="20% - Accent5 2 2 2 2 2 3" xfId="12207" xr:uid="{1AC03F6A-F2AA-4B05-B17C-B691496F436A}"/>
    <cellStyle name="20% - Accent5 2 2 2 2 3" xfId="4953" xr:uid="{00000000-0005-0000-0000-000088020000}"/>
    <cellStyle name="20% - Accent5 2 2 2 2 3 2" xfId="14279" xr:uid="{F17297FB-6523-40C1-A91D-D19509B3B66B}"/>
    <cellStyle name="20% - Accent5 2 2 2 2 4" xfId="9531" xr:uid="{5DC5F027-F767-49FB-B9DE-2ACABCF8AC5A}"/>
    <cellStyle name="20% - Accent5 2 2 2 2 5" xfId="10062" xr:uid="{76A49B8A-9A06-4B83-BEB5-036BDF57F77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EE98ED30-4868-41F0-8C36-667AC019A456}"/>
    <cellStyle name="20% - Accent5 2 2 2 3 2 3" xfId="12620" xr:uid="{F039CF93-48E6-4A5C-87CD-E8849DC5B0C5}"/>
    <cellStyle name="20% - Accent5 2 2 2 3 3" xfId="5366" xr:uid="{00000000-0005-0000-0000-00008C020000}"/>
    <cellStyle name="20% - Accent5 2 2 2 3 3 2" xfId="14692" xr:uid="{8C85DA08-FABD-43B0-8B4D-DE77F0894D28}"/>
    <cellStyle name="20% - Accent5 2 2 2 3 4" xfId="10475" xr:uid="{E1C9C36F-9163-4234-BC2E-154262EF6CE7}"/>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F1402132-00DF-4116-BB10-CF884C7B31B3}"/>
    <cellStyle name="20% - Accent5 2 2 2 4 2 3" xfId="13033" xr:uid="{EE5447E8-2A76-48F5-9F5F-46AA7ECF9C30}"/>
    <cellStyle name="20% - Accent5 2 2 2 4 3" xfId="5779" xr:uid="{00000000-0005-0000-0000-000090020000}"/>
    <cellStyle name="20% - Accent5 2 2 2 4 3 2" xfId="15105" xr:uid="{A04DDEFE-9D82-45DA-9204-5BCA6E7F5EF5}"/>
    <cellStyle name="20% - Accent5 2 2 2 4 4" xfId="10888" xr:uid="{F3B75CDE-0298-48A2-A766-A7607E44378A}"/>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18A8FA78-732B-49CC-95A3-7380365D55C8}"/>
    <cellStyle name="20% - Accent5 2 2 2 5 2 3" xfId="13446" xr:uid="{28D9FE9B-2791-4C2A-A16C-4F8611A4E21C}"/>
    <cellStyle name="20% - Accent5 2 2 2 5 3" xfId="6192" xr:uid="{00000000-0005-0000-0000-000094020000}"/>
    <cellStyle name="20% - Accent5 2 2 2 5 3 2" xfId="15518" xr:uid="{0682ABD7-C636-4AED-8756-BE885562F94F}"/>
    <cellStyle name="20% - Accent5 2 2 2 5 4" xfId="11301" xr:uid="{35AAC5B2-6C7B-4903-ABD3-897FB079BB53}"/>
    <cellStyle name="20% - Accent5 2 2 2 6" xfId="2299" xr:uid="{00000000-0005-0000-0000-000095020000}"/>
    <cellStyle name="20% - Accent5 2 2 2 6 2" xfId="6605" xr:uid="{00000000-0005-0000-0000-000096020000}"/>
    <cellStyle name="20% - Accent5 2 2 2 6 2 2" xfId="15931" xr:uid="{5D50E006-3C57-46EA-89BD-410DC4BEDFAC}"/>
    <cellStyle name="20% - Accent5 2 2 2 6 3" xfId="11714" xr:uid="{13AF1ABE-AC11-45CD-90BC-AB6BEE2E4291}"/>
    <cellStyle name="20% - Accent5 2 2 2 7" xfId="4539" xr:uid="{00000000-0005-0000-0000-000097020000}"/>
    <cellStyle name="20% - Accent5 2 2 2 7 2" xfId="13865" xr:uid="{39946C66-0667-482C-A5E9-3CF52D61642B}"/>
    <cellStyle name="20% - Accent5 2 2 2 8" xfId="9106" xr:uid="{E7B219CB-83A9-494A-83ED-783719A0F1D9}"/>
    <cellStyle name="20% - Accent5 2 2 2 9" xfId="9648" xr:uid="{33F01E1E-8CA3-42A1-87EE-D5B54580A478}"/>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06157F30-FBE5-4942-9897-6F7363A6AB9D}"/>
    <cellStyle name="20% - Accent5 2 2 3 2 3" xfId="12206" xr:uid="{A7161F00-DEA7-48F4-8E0E-55D9E505F9A2}"/>
    <cellStyle name="20% - Accent5 2 2 3 3" xfId="4952" xr:uid="{00000000-0005-0000-0000-00009B020000}"/>
    <cellStyle name="20% - Accent5 2 2 3 3 2" xfId="14278" xr:uid="{ABF39B3D-2163-4C7F-9162-AF5B94ECD757}"/>
    <cellStyle name="20% - Accent5 2 2 3 4" xfId="9324" xr:uid="{6094FEE1-8E2A-466F-9CDF-43EB9EE581FF}"/>
    <cellStyle name="20% - Accent5 2 2 3 5" xfId="10061" xr:uid="{7FA789B8-6257-4C17-932A-CC712D92CD41}"/>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FBEB621A-9C1F-4E44-9166-0A59E87B3AD6}"/>
    <cellStyle name="20% - Accent5 2 2 4 2 3" xfId="12619" xr:uid="{9B0AF685-7943-4A5B-9263-9E54E3A31BBC}"/>
    <cellStyle name="20% - Accent5 2 2 4 3" xfId="5365" xr:uid="{00000000-0005-0000-0000-00009F020000}"/>
    <cellStyle name="20% - Accent5 2 2 4 3 2" xfId="14691" xr:uid="{E1454002-E01D-46C7-B314-3468CAD18DE0}"/>
    <cellStyle name="20% - Accent5 2 2 4 4" xfId="10474" xr:uid="{69500ACF-1C3C-4675-B584-4FAF1C0C5634}"/>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7E7FCCEF-FFD2-461C-A79D-DE9FA7A7CE8E}"/>
    <cellStyle name="20% - Accent5 2 2 5 2 3" xfId="13032" xr:uid="{FA9741F7-57DE-4774-9BAD-1A30432E9C43}"/>
    <cellStyle name="20% - Accent5 2 2 5 3" xfId="5778" xr:uid="{00000000-0005-0000-0000-0000A3020000}"/>
    <cellStyle name="20% - Accent5 2 2 5 3 2" xfId="15104" xr:uid="{7F3BB50F-8C62-41A6-A193-0FB7990F375A}"/>
    <cellStyle name="20% - Accent5 2 2 5 4" xfId="10887" xr:uid="{1EDEC762-BDA0-4B2E-9606-4DC2A0A72359}"/>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97467433-1579-424F-B0A7-B2C1DF5DF412}"/>
    <cellStyle name="20% - Accent5 2 2 6 2 3" xfId="13445" xr:uid="{2AFB7085-3A48-4D37-A209-C29B96B3FC53}"/>
    <cellStyle name="20% - Accent5 2 2 6 3" xfId="6191" xr:uid="{00000000-0005-0000-0000-0000A7020000}"/>
    <cellStyle name="20% - Accent5 2 2 6 3 2" xfId="15517" xr:uid="{B7FBCFC6-0218-4748-935B-B0C89BFC06D0}"/>
    <cellStyle name="20% - Accent5 2 2 6 4" xfId="11300" xr:uid="{2EEE78E9-D512-4736-94C4-95DE59648513}"/>
    <cellStyle name="20% - Accent5 2 2 7" xfId="2298" xr:uid="{00000000-0005-0000-0000-0000A8020000}"/>
    <cellStyle name="20% - Accent5 2 2 7 2" xfId="6604" xr:uid="{00000000-0005-0000-0000-0000A9020000}"/>
    <cellStyle name="20% - Accent5 2 2 7 2 2" xfId="15930" xr:uid="{90EA659E-9C94-4444-B4A5-C76ED0B72689}"/>
    <cellStyle name="20% - Accent5 2 2 7 3" xfId="11713" xr:uid="{1A4181A2-248F-4847-9404-6352EBF5C213}"/>
    <cellStyle name="20% - Accent5 2 2 8" xfId="4538" xr:uid="{00000000-0005-0000-0000-0000AA020000}"/>
    <cellStyle name="20% - Accent5 2 2 8 2" xfId="13864" xr:uid="{7BE927DA-3E63-4AD7-B11D-6C085CC81548}"/>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1FC9C3F0-2479-4CBE-91FD-9C79E8D0E12F}"/>
    <cellStyle name="20% - Accent5 2 3 2 2 3" xfId="12208" xr:uid="{CD813A37-035D-4CE1-8CF4-40E3CB5BB05F}"/>
    <cellStyle name="20% - Accent5 2 3 2 3" xfId="4954" xr:uid="{00000000-0005-0000-0000-0000AF020000}"/>
    <cellStyle name="20% - Accent5 2 3 2 3 2" xfId="14280" xr:uid="{852F5BB8-65E0-45C5-8972-7DFA51BF7CE7}"/>
    <cellStyle name="20% - Accent5 2 3 2 4" xfId="9428" xr:uid="{B7820ACF-E1F3-4653-B5DD-FD829B169E84}"/>
    <cellStyle name="20% - Accent5 2 3 2 5" xfId="10063" xr:uid="{DE66E08C-8C1A-4066-9D52-3A900E957A53}"/>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61B0DC84-1247-400B-93A3-1A5B7C7282D0}"/>
    <cellStyle name="20% - Accent5 2 3 3 2 3" xfId="12621" xr:uid="{285FCBB6-A403-446C-8C87-C45EF101B2DB}"/>
    <cellStyle name="20% - Accent5 2 3 3 3" xfId="5367" xr:uid="{00000000-0005-0000-0000-0000B3020000}"/>
    <cellStyle name="20% - Accent5 2 3 3 3 2" xfId="14693" xr:uid="{997203DE-B147-4034-9D38-C9D4D8DE5D43}"/>
    <cellStyle name="20% - Accent5 2 3 3 4" xfId="10476" xr:uid="{7CFFFB1D-0BFB-4047-9B14-4A28D566289C}"/>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37A229F6-6CB0-40EC-B329-79435C1F3234}"/>
    <cellStyle name="20% - Accent5 2 3 4 2 3" xfId="13034" xr:uid="{89FA76C5-0CC9-4E2D-8211-ACAD971F9456}"/>
    <cellStyle name="20% - Accent5 2 3 4 3" xfId="5780" xr:uid="{00000000-0005-0000-0000-0000B7020000}"/>
    <cellStyle name="20% - Accent5 2 3 4 3 2" xfId="15106" xr:uid="{F0C28132-D1F0-415D-8EA1-592CF137EF66}"/>
    <cellStyle name="20% - Accent5 2 3 4 4" xfId="10889" xr:uid="{8A52074F-1C31-4FCE-BC19-30A8F83B7A7A}"/>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6A737383-EF81-431F-BAC2-599BAC3EB9D6}"/>
    <cellStyle name="20% - Accent5 2 3 5 2 3" xfId="13447" xr:uid="{7072280E-30DC-4357-8230-4D7F235D1B9B}"/>
    <cellStyle name="20% - Accent5 2 3 5 3" xfId="6193" xr:uid="{00000000-0005-0000-0000-0000BB020000}"/>
    <cellStyle name="20% - Accent5 2 3 5 3 2" xfId="15519" xr:uid="{AA79FD61-033D-48E4-A025-E9133A95C7A7}"/>
    <cellStyle name="20% - Accent5 2 3 5 4" xfId="11302" xr:uid="{2C77CAA7-440F-463D-BE24-E0DC9C3F3CEA}"/>
    <cellStyle name="20% - Accent5 2 3 6" xfId="2300" xr:uid="{00000000-0005-0000-0000-0000BC020000}"/>
    <cellStyle name="20% - Accent5 2 3 6 2" xfId="6606" xr:uid="{00000000-0005-0000-0000-0000BD020000}"/>
    <cellStyle name="20% - Accent5 2 3 6 2 2" xfId="15932" xr:uid="{33FF86FF-D103-4A6C-A56B-91F77659B7D7}"/>
    <cellStyle name="20% - Accent5 2 3 6 3" xfId="11715" xr:uid="{5A289247-DA85-48EA-B3AA-1C521A58C685}"/>
    <cellStyle name="20% - Accent5 2 3 7" xfId="4540" xr:uid="{00000000-0005-0000-0000-0000BE020000}"/>
    <cellStyle name="20% - Accent5 2 3 7 2" xfId="13866" xr:uid="{5C7D2B96-8972-4A28-A5D2-B4FE5D1CD364}"/>
    <cellStyle name="20% - Accent5 2 3 8" xfId="9003" xr:uid="{9830E7D1-E361-4BA3-A986-3DCE647EEF8E}"/>
    <cellStyle name="20% - Accent5 2 3 9" xfId="9649" xr:uid="{E5735FEA-8563-4D42-B057-17CEED139ED2}"/>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36C326E3-77B6-41E8-87EF-A141B2DFB810}"/>
    <cellStyle name="20% - Accent5 2 4 2 3" xfId="12205" xr:uid="{E99F8ED5-6D37-475B-A3CC-24952B0C0CD6}"/>
    <cellStyle name="20% - Accent5 2 4 3" xfId="4951" xr:uid="{00000000-0005-0000-0000-0000C2020000}"/>
    <cellStyle name="20% - Accent5 2 4 3 2" xfId="14277" xr:uid="{D72C137F-4CDD-4FCD-89CD-37EEB970E8E1}"/>
    <cellStyle name="20% - Accent5 2 4 4" xfId="9220" xr:uid="{A7B88928-FE72-4C1B-B74E-3CA76DBA84CC}"/>
    <cellStyle name="20% - Accent5 2 4 5" xfId="10060" xr:uid="{9CE33AFE-F282-40FD-95E9-35FE2098C8D3}"/>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30CB88C6-6D15-497D-9F81-F4D36560A0BE}"/>
    <cellStyle name="20% - Accent5 2 5 2 3" xfId="12618" xr:uid="{83362488-01B4-4095-B33B-345C5105BE9A}"/>
    <cellStyle name="20% - Accent5 2 5 3" xfId="5364" xr:uid="{00000000-0005-0000-0000-0000C6020000}"/>
    <cellStyle name="20% - Accent5 2 5 3 2" xfId="14690" xr:uid="{2EAB5331-C95C-4C72-B30D-C562AAEA2BD2}"/>
    <cellStyle name="20% - Accent5 2 5 4" xfId="10473" xr:uid="{9F6C2AFE-30A3-422C-BD2E-F5A1ED9595EB}"/>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8192CA6F-BD6B-4EC2-A146-6067400827B5}"/>
    <cellStyle name="20% - Accent5 2 6 2 3" xfId="13031" xr:uid="{4A717E6E-4946-4815-8AC7-6367E6629C60}"/>
    <cellStyle name="20% - Accent5 2 6 3" xfId="5777" xr:uid="{00000000-0005-0000-0000-0000CA020000}"/>
    <cellStyle name="20% - Accent5 2 6 3 2" xfId="15103" xr:uid="{460E30B0-6C32-4047-B7E2-5440C93271DA}"/>
    <cellStyle name="20% - Accent5 2 6 4" xfId="10886" xr:uid="{0B6E8FD0-2A48-473D-807C-B877C905D280}"/>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95B0D486-3F6F-4974-ACB2-C3C7B49D7355}"/>
    <cellStyle name="20% - Accent5 2 7 2 3" xfId="13444" xr:uid="{7C3A8BA0-3CEB-4187-82F5-BD3846D6B062}"/>
    <cellStyle name="20% - Accent5 2 7 3" xfId="6190" xr:uid="{00000000-0005-0000-0000-0000CE020000}"/>
    <cellStyle name="20% - Accent5 2 7 3 2" xfId="15516" xr:uid="{457A0162-39F7-400E-9000-2F9AF76AC33F}"/>
    <cellStyle name="20% - Accent5 2 7 4" xfId="11299" xr:uid="{4C17CA89-002D-4423-A75B-46F4E0AED9A6}"/>
    <cellStyle name="20% - Accent5 2 8" xfId="2297" xr:uid="{00000000-0005-0000-0000-0000CF020000}"/>
    <cellStyle name="20% - Accent5 2 8 2" xfId="6603" xr:uid="{00000000-0005-0000-0000-0000D0020000}"/>
    <cellStyle name="20% - Accent5 2 8 2 2" xfId="15929" xr:uid="{285B4965-41D3-494A-8079-C6D99F788571}"/>
    <cellStyle name="20% - Accent5 2 8 3" xfId="11712" xr:uid="{F8D27D4F-23EA-494F-87AF-2B142C942DE1}"/>
    <cellStyle name="20% - Accent5 2 9" xfId="4537" xr:uid="{00000000-0005-0000-0000-0000D1020000}"/>
    <cellStyle name="20% - Accent5 2 9 2" xfId="13863" xr:uid="{645507A7-2A76-4F16-ADB2-21FD8BC5D939}"/>
    <cellStyle name="20% - Accent5 3" xfId="38" xr:uid="{00000000-0005-0000-0000-0000D2020000}"/>
    <cellStyle name="20% - Accent5 3 10" xfId="9650" xr:uid="{17593030-F687-4AC8-9105-3E29B847BF76}"/>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E8D992FB-40BF-4D65-9101-726C13407838}"/>
    <cellStyle name="20% - Accent5 3 2 2 2 3" xfId="12210" xr:uid="{5CC7CCC6-6A92-43D3-873E-1DD85A0F6719}"/>
    <cellStyle name="20% - Accent5 3 2 2 3" xfId="4956" xr:uid="{00000000-0005-0000-0000-0000D7020000}"/>
    <cellStyle name="20% - Accent5 3 2 2 3 2" xfId="14282" xr:uid="{DA899B0A-6371-4193-9A65-27941DB6753E}"/>
    <cellStyle name="20% - Accent5 3 2 2 4" xfId="9501" xr:uid="{82A590A5-96D4-476E-8E6F-D81EEE08C409}"/>
    <cellStyle name="20% - Accent5 3 2 2 5" xfId="10065" xr:uid="{C7B6A8BF-646D-494B-87B0-4880C2D1B7E7}"/>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70031720-5060-492A-990B-7383C42A84CE}"/>
    <cellStyle name="20% - Accent5 3 2 3 2 3" xfId="12623" xr:uid="{75FB5356-6750-46B3-8A19-6BBE9CBF7A57}"/>
    <cellStyle name="20% - Accent5 3 2 3 3" xfId="5369" xr:uid="{00000000-0005-0000-0000-0000DB020000}"/>
    <cellStyle name="20% - Accent5 3 2 3 3 2" xfId="14695" xr:uid="{2DF97122-40C7-40A7-BC23-58CBC7C1E805}"/>
    <cellStyle name="20% - Accent5 3 2 3 4" xfId="10478" xr:uid="{62F35DFE-E0D8-4909-ABB1-73D2A6E4CBC2}"/>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88E431A6-B69F-4419-93FB-581DD6B0248A}"/>
    <cellStyle name="20% - Accent5 3 2 4 2 3" xfId="13036" xr:uid="{F443FD8A-2317-42BA-8D0A-A1C74640737F}"/>
    <cellStyle name="20% - Accent5 3 2 4 3" xfId="5782" xr:uid="{00000000-0005-0000-0000-0000DF020000}"/>
    <cellStyle name="20% - Accent5 3 2 4 3 2" xfId="15108" xr:uid="{6ACB8148-FA44-4F08-936E-9D6291C5C778}"/>
    <cellStyle name="20% - Accent5 3 2 4 4" xfId="10891" xr:uid="{661C180C-14E6-47F9-864A-9546FBDA5900}"/>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D76C143E-E0BC-4F3D-9B46-B465169185CF}"/>
    <cellStyle name="20% - Accent5 3 2 5 2 3" xfId="13449" xr:uid="{A9287FD8-059D-4453-86A0-37566F7298A2}"/>
    <cellStyle name="20% - Accent5 3 2 5 3" xfId="6195" xr:uid="{00000000-0005-0000-0000-0000E3020000}"/>
    <cellStyle name="20% - Accent5 3 2 5 3 2" xfId="15521" xr:uid="{F5C25AAA-1C4F-459F-935B-4D965827D3F8}"/>
    <cellStyle name="20% - Accent5 3 2 5 4" xfId="11304" xr:uid="{1D8B34DA-C2E2-4D07-BFE9-3D4633A84AFE}"/>
    <cellStyle name="20% - Accent5 3 2 6" xfId="2302" xr:uid="{00000000-0005-0000-0000-0000E4020000}"/>
    <cellStyle name="20% - Accent5 3 2 6 2" xfId="6608" xr:uid="{00000000-0005-0000-0000-0000E5020000}"/>
    <cellStyle name="20% - Accent5 3 2 6 2 2" xfId="15934" xr:uid="{0F753BA9-16A6-4A78-B455-AD1EF2BECCAB}"/>
    <cellStyle name="20% - Accent5 3 2 6 3" xfId="11717" xr:uid="{8F80D950-5E94-495E-A1F1-DDC23C2834E3}"/>
    <cellStyle name="20% - Accent5 3 2 7" xfId="4542" xr:uid="{00000000-0005-0000-0000-0000E6020000}"/>
    <cellStyle name="20% - Accent5 3 2 7 2" xfId="13868" xr:uid="{D52F4991-3D9A-4D07-BF7C-CD9E82AD8ACC}"/>
    <cellStyle name="20% - Accent5 3 2 8" xfId="9076" xr:uid="{BEDF1D01-35A3-4513-9363-9C1AFC748168}"/>
    <cellStyle name="20% - Accent5 3 2 9" xfId="9651" xr:uid="{14B832C5-0B1A-41F6-B595-C8D3C1C2AAC2}"/>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575313ED-8390-4E88-8F28-1A6235ED45B4}"/>
    <cellStyle name="20% - Accent5 3 3 2 3" xfId="12209" xr:uid="{EAD28DB2-CA0F-4D7D-84A7-761C785E3016}"/>
    <cellStyle name="20% - Accent5 3 3 3" xfId="4955" xr:uid="{00000000-0005-0000-0000-0000EA020000}"/>
    <cellStyle name="20% - Accent5 3 3 3 2" xfId="14281" xr:uid="{74BBB0EA-DBCB-4B58-A34A-EA1E3DFB0CE1}"/>
    <cellStyle name="20% - Accent5 3 3 4" xfId="9294" xr:uid="{124960EA-C7A4-4686-BF67-47D6C57F7EEB}"/>
    <cellStyle name="20% - Accent5 3 3 5" xfId="10064" xr:uid="{3CD992A0-255F-49A3-B19E-F7E234AF7122}"/>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4ABE7315-BE75-41D6-86E0-3FC632EC3684}"/>
    <cellStyle name="20% - Accent5 3 4 2 3" xfId="12622" xr:uid="{577CB8B1-5C83-4D40-B137-3156E1FC8A07}"/>
    <cellStyle name="20% - Accent5 3 4 3" xfId="5368" xr:uid="{00000000-0005-0000-0000-0000EE020000}"/>
    <cellStyle name="20% - Accent5 3 4 3 2" xfId="14694" xr:uid="{0A7DB0C2-99F9-4FB3-A806-721D5D8CBA38}"/>
    <cellStyle name="20% - Accent5 3 4 4" xfId="10477" xr:uid="{0AF1DDB7-121E-486B-A351-BDD0D93DE0B7}"/>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F7EA528B-1D8B-4C41-9B07-74BE6098623E}"/>
    <cellStyle name="20% - Accent5 3 5 2 3" xfId="13035" xr:uid="{3FC46DBD-B52B-468D-A738-12B2A6B45D60}"/>
    <cellStyle name="20% - Accent5 3 5 3" xfId="5781" xr:uid="{00000000-0005-0000-0000-0000F2020000}"/>
    <cellStyle name="20% - Accent5 3 5 3 2" xfId="15107" xr:uid="{CAD16AF8-F019-41AC-BF49-B9900E636C08}"/>
    <cellStyle name="20% - Accent5 3 5 4" xfId="10890" xr:uid="{3B655F1C-49DE-4AEC-9E2C-003A0BF5BD5B}"/>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5DC17C44-3733-4F2F-922D-15629EBB1BFC}"/>
    <cellStyle name="20% - Accent5 3 6 2 3" xfId="13448" xr:uid="{4D3F25DB-E5A3-48CB-89AC-64D75D7F82CE}"/>
    <cellStyle name="20% - Accent5 3 6 3" xfId="6194" xr:uid="{00000000-0005-0000-0000-0000F6020000}"/>
    <cellStyle name="20% - Accent5 3 6 3 2" xfId="15520" xr:uid="{7DD14302-5A03-4919-8FB0-E9B77FB4DFA2}"/>
    <cellStyle name="20% - Accent5 3 6 4" xfId="11303" xr:uid="{1AE44A17-8AFC-4695-B910-8D786667406A}"/>
    <cellStyle name="20% - Accent5 3 7" xfId="2301" xr:uid="{00000000-0005-0000-0000-0000F7020000}"/>
    <cellStyle name="20% - Accent5 3 7 2" xfId="6607" xr:uid="{00000000-0005-0000-0000-0000F8020000}"/>
    <cellStyle name="20% - Accent5 3 7 2 2" xfId="15933" xr:uid="{421EED81-E964-4281-BA92-911DF099FFB6}"/>
    <cellStyle name="20% - Accent5 3 7 3" xfId="11716" xr:uid="{D487E0C0-50EA-4AC2-8BF8-75494BA6A19C}"/>
    <cellStyle name="20% - Accent5 3 8" xfId="4541" xr:uid="{00000000-0005-0000-0000-0000F9020000}"/>
    <cellStyle name="20% - Accent5 3 8 2" xfId="13867" xr:uid="{2EBD2105-BE6C-480F-83F6-ABBE664D0C8F}"/>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5C7BC4E7-0154-4611-85F3-AB6A21257A6A}"/>
    <cellStyle name="20% - Accent5 4 2 2 3" xfId="12211" xr:uid="{28FFA277-E592-4B84-A79E-00A93C3FEC43}"/>
    <cellStyle name="20% - Accent5 4 2 3" xfId="4957" xr:uid="{00000000-0005-0000-0000-0000FE020000}"/>
    <cellStyle name="20% - Accent5 4 2 3 2" xfId="14283" xr:uid="{76A98295-BBE0-406E-80B0-EF4BD51B2B1C}"/>
    <cellStyle name="20% - Accent5 4 2 4" xfId="9380" xr:uid="{1C764D65-D71C-4646-AD86-15F83BDBF498}"/>
    <cellStyle name="20% - Accent5 4 2 5" xfId="10066" xr:uid="{14044736-DB54-4054-9FDD-4F383A1C3635}"/>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BCB90FC0-BBE6-4B06-9186-32ADDB7DAFD1}"/>
    <cellStyle name="20% - Accent5 4 3 2 3" xfId="12624" xr:uid="{D281FCB4-DDF0-426C-8FB7-4648CA186545}"/>
    <cellStyle name="20% - Accent5 4 3 3" xfId="5370" xr:uid="{00000000-0005-0000-0000-000002030000}"/>
    <cellStyle name="20% - Accent5 4 3 3 2" xfId="14696" xr:uid="{D587B23C-FFCF-4A39-A9CF-255FDB0DF026}"/>
    <cellStyle name="20% - Accent5 4 3 4" xfId="10479" xr:uid="{DFB3720A-E420-4B67-904C-808CECC5FE0B}"/>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69BF6CC2-4CD8-449C-8BE7-C71098022BDE}"/>
    <cellStyle name="20% - Accent5 4 4 2 3" xfId="13037" xr:uid="{CD3FEF81-9844-4558-B129-6EC5178B40EA}"/>
    <cellStyle name="20% - Accent5 4 4 3" xfId="5783" xr:uid="{00000000-0005-0000-0000-000006030000}"/>
    <cellStyle name="20% - Accent5 4 4 3 2" xfId="15109" xr:uid="{3CD09AEF-F3D8-4564-8DDC-0E35861BDD43}"/>
    <cellStyle name="20% - Accent5 4 4 4" xfId="10892" xr:uid="{FC0D6D41-D174-4D07-819E-D90F529CF00C}"/>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34B25CFF-895C-49C0-A95B-21FCF38A26CF}"/>
    <cellStyle name="20% - Accent5 4 5 2 3" xfId="13450" xr:uid="{1E984F26-8818-42F3-B8A4-8EE4B7D1E7DE}"/>
    <cellStyle name="20% - Accent5 4 5 3" xfId="6196" xr:uid="{00000000-0005-0000-0000-00000A030000}"/>
    <cellStyle name="20% - Accent5 4 5 3 2" xfId="15522" xr:uid="{BDAC5389-7DA7-41E2-B924-3D581EA49829}"/>
    <cellStyle name="20% - Accent5 4 5 4" xfId="11305" xr:uid="{CC82F415-B116-46FE-B4E7-0BCF685B285C}"/>
    <cellStyle name="20% - Accent5 4 6" xfId="2303" xr:uid="{00000000-0005-0000-0000-00000B030000}"/>
    <cellStyle name="20% - Accent5 4 6 2" xfId="6609" xr:uid="{00000000-0005-0000-0000-00000C030000}"/>
    <cellStyle name="20% - Accent5 4 6 2 2" xfId="15935" xr:uid="{EB9F71E7-5E4B-4912-9EFF-CFD9BA850743}"/>
    <cellStyle name="20% - Accent5 4 6 3" xfId="11718" xr:uid="{35EC808D-25BA-4FD3-816B-5C7334341181}"/>
    <cellStyle name="20% - Accent5 4 7" xfId="4543" xr:uid="{00000000-0005-0000-0000-00000D030000}"/>
    <cellStyle name="20% - Accent5 4 7 2" xfId="13869" xr:uid="{EA391975-E1EE-4F3A-B937-6724E6EF1E94}"/>
    <cellStyle name="20% - Accent5 4 8" xfId="8955" xr:uid="{8AD43D76-8747-44EC-8D3B-2720ADF9D1B1}"/>
    <cellStyle name="20% - Accent5 4 9" xfId="9652" xr:uid="{72912C50-5961-4B93-AB09-BF5F07F05B05}"/>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4EF732C3-01B9-4103-AF8C-828B349297FA}"/>
    <cellStyle name="20% - Accent5 5 2 3" xfId="12204" xr:uid="{16951A56-0E22-424B-B61F-A7DEA12A0D93}"/>
    <cellStyle name="20% - Accent5 5 3" xfId="4950" xr:uid="{00000000-0005-0000-0000-000011030000}"/>
    <cellStyle name="20% - Accent5 5 3 2" xfId="14276" xr:uid="{B1FAB837-8758-43AB-A747-FD1E14FB5DDF}"/>
    <cellStyle name="20% - Accent5 5 4" xfId="9188" xr:uid="{164CF7CE-7706-426C-90AA-4867A06E28BD}"/>
    <cellStyle name="20% - Accent5 5 5" xfId="10059" xr:uid="{3F4C7900-5307-4D90-B481-8EF305904138}"/>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6344AD3F-CCDB-4BD6-9ED1-0F1816A5CB80}"/>
    <cellStyle name="20% - Accent5 6 2 3" xfId="12617" xr:uid="{855C9CAE-72F5-429B-996C-84A1E6ED5E09}"/>
    <cellStyle name="20% - Accent5 6 3" xfId="5363" xr:uid="{00000000-0005-0000-0000-000015030000}"/>
    <cellStyle name="20% - Accent5 6 3 2" xfId="14689" xr:uid="{D0201185-C870-4905-A0C2-D9A7C14DCB60}"/>
    <cellStyle name="20% - Accent5 6 4" xfId="10472" xr:uid="{C77D42E6-3844-40FD-87EA-D798C5BA2E6E}"/>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6B133F1F-8E43-4588-B6D6-5E704E595AC3}"/>
    <cellStyle name="20% - Accent5 7 2 3" xfId="13030" xr:uid="{9BCF90D3-5446-435D-84A2-57BFC3265514}"/>
    <cellStyle name="20% - Accent5 7 3" xfId="5776" xr:uid="{00000000-0005-0000-0000-000019030000}"/>
    <cellStyle name="20% - Accent5 7 3 2" xfId="15102" xr:uid="{45930B30-7E2F-4D92-A82D-8034399331C9}"/>
    <cellStyle name="20% - Accent5 7 4" xfId="10885" xr:uid="{E3421E0C-77D1-4E6D-9F18-FA9B05C7C197}"/>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F72039D9-3959-42A3-8D89-7459EDB79039}"/>
    <cellStyle name="20% - Accent5 8 2 3" xfId="13443" xr:uid="{506F54BB-3312-4ED7-9B7D-77E45AC4F8B0}"/>
    <cellStyle name="20% - Accent5 8 3" xfId="6189" xr:uid="{00000000-0005-0000-0000-00001D030000}"/>
    <cellStyle name="20% - Accent5 8 3 2" xfId="15515" xr:uid="{F1E8A95C-7915-4336-B317-0AE94C4A877D}"/>
    <cellStyle name="20% - Accent5 8 4" xfId="11298" xr:uid="{A78E6A57-2EFC-4C08-A047-1F38C1C57683}"/>
    <cellStyle name="20% - Accent5 9" xfId="2296" xr:uid="{00000000-0005-0000-0000-00001E030000}"/>
    <cellStyle name="20% - Accent5 9 2" xfId="6602" xr:uid="{00000000-0005-0000-0000-00001F030000}"/>
    <cellStyle name="20% - Accent5 9 2 2" xfId="15928" xr:uid="{2D141ED1-EE05-4A50-8F41-43E3F7DA9852}"/>
    <cellStyle name="20% - Accent5 9 3" xfId="11711" xr:uid="{292C9755-C2BC-4329-8F90-F405D7CE6EC0}"/>
    <cellStyle name="20% - Accent6" xfId="41" builtinId="50" customBuiltin="1"/>
    <cellStyle name="20% - Accent6 10" xfId="4544" xr:uid="{00000000-0005-0000-0000-000021030000}"/>
    <cellStyle name="20% - Accent6 10 2" xfId="13870" xr:uid="{D706EA82-F7E3-400A-AB8D-69B91A4F48F0}"/>
    <cellStyle name="20% - Accent6 11" xfId="8768" xr:uid="{5A1F1293-A19F-445F-908A-D9DBB6265CA0}"/>
    <cellStyle name="20% - Accent6 12" xfId="9653" xr:uid="{C7923451-0B1C-4931-ACFE-53EC420779F0}"/>
    <cellStyle name="20% - Accent6 2" xfId="42" xr:uid="{00000000-0005-0000-0000-000022030000}"/>
    <cellStyle name="20% - Accent6 2 10" xfId="8795" xr:uid="{9A35B19E-8802-437A-ABDC-7B06A4E07F58}"/>
    <cellStyle name="20% - Accent6 2 11" xfId="9654" xr:uid="{0FA8D4E6-8CA6-4084-A9F0-647C3438AEA0}"/>
    <cellStyle name="20% - Accent6 2 2" xfId="43" xr:uid="{00000000-0005-0000-0000-000023030000}"/>
    <cellStyle name="20% - Accent6 2 2 10" xfId="9655" xr:uid="{4140CE26-7D5D-47D6-B6F4-8B903D5A8C03}"/>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B43CED47-87B5-48E7-8699-F3C47E01104A}"/>
    <cellStyle name="20% - Accent6 2 2 2 2 2 3" xfId="12215" xr:uid="{0A5A3AE2-DE1D-4761-A931-C09EA0C6A4D6}"/>
    <cellStyle name="20% - Accent6 2 2 2 2 3" xfId="4961" xr:uid="{00000000-0005-0000-0000-000028030000}"/>
    <cellStyle name="20% - Accent6 2 2 2 2 3 2" xfId="14287" xr:uid="{303B4A7C-7CD2-459F-A23A-1A07C373816D}"/>
    <cellStyle name="20% - Accent6 2 2 2 2 4" xfId="9530" xr:uid="{AFD3EE0E-70EF-4C1B-B994-7B8E7E8187BC}"/>
    <cellStyle name="20% - Accent6 2 2 2 2 5" xfId="10070" xr:uid="{E62490D9-2C33-41B0-959B-88C86E3007C3}"/>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0891ED10-7067-473A-A4F3-87A68807110C}"/>
    <cellStyle name="20% - Accent6 2 2 2 3 2 3" xfId="12628" xr:uid="{C7C25533-BB5D-46F7-BF1B-832068B15626}"/>
    <cellStyle name="20% - Accent6 2 2 2 3 3" xfId="5374" xr:uid="{00000000-0005-0000-0000-00002C030000}"/>
    <cellStyle name="20% - Accent6 2 2 2 3 3 2" xfId="14700" xr:uid="{6CC13094-7FC3-4087-93DA-3C4023244634}"/>
    <cellStyle name="20% - Accent6 2 2 2 3 4" xfId="10483" xr:uid="{B9B748FF-CCCF-46D6-A876-B6BE0575149C}"/>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25DBFD5D-7742-426A-821E-7C0FA7C5D8A3}"/>
    <cellStyle name="20% - Accent6 2 2 2 4 2 3" xfId="13041" xr:uid="{F2634D61-AFF2-47C2-8E0E-E6AB2AEA4307}"/>
    <cellStyle name="20% - Accent6 2 2 2 4 3" xfId="5787" xr:uid="{00000000-0005-0000-0000-000030030000}"/>
    <cellStyle name="20% - Accent6 2 2 2 4 3 2" xfId="15113" xr:uid="{2F666CC1-138C-4E39-A034-95E037E66E2F}"/>
    <cellStyle name="20% - Accent6 2 2 2 4 4" xfId="10896" xr:uid="{C91B9C55-0C71-4DFF-B2A3-6EB3B7D1B106}"/>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4426BFAA-8CFD-4E95-AD43-A3BC41909B50}"/>
    <cellStyle name="20% - Accent6 2 2 2 5 2 3" xfId="13454" xr:uid="{AFE72E23-00E4-447E-AAF3-F8CEF68455B2}"/>
    <cellStyle name="20% - Accent6 2 2 2 5 3" xfId="6200" xr:uid="{00000000-0005-0000-0000-000034030000}"/>
    <cellStyle name="20% - Accent6 2 2 2 5 3 2" xfId="15526" xr:uid="{9B04DD33-C295-44A8-A47C-498A2199B47C}"/>
    <cellStyle name="20% - Accent6 2 2 2 5 4" xfId="11309" xr:uid="{6834AC32-7FB9-433F-817B-DE9F54E03F01}"/>
    <cellStyle name="20% - Accent6 2 2 2 6" xfId="2307" xr:uid="{00000000-0005-0000-0000-000035030000}"/>
    <cellStyle name="20% - Accent6 2 2 2 6 2" xfId="6613" xr:uid="{00000000-0005-0000-0000-000036030000}"/>
    <cellStyle name="20% - Accent6 2 2 2 6 2 2" xfId="15939" xr:uid="{CA183515-3D13-4432-A96C-D66745D6CD3E}"/>
    <cellStyle name="20% - Accent6 2 2 2 6 3" xfId="11722" xr:uid="{B27A1155-3519-49A5-BDBC-7109C582557C}"/>
    <cellStyle name="20% - Accent6 2 2 2 7" xfId="4547" xr:uid="{00000000-0005-0000-0000-000037030000}"/>
    <cellStyle name="20% - Accent6 2 2 2 7 2" xfId="13873" xr:uid="{6E1D9115-773A-42F4-AA4E-2781FB2FD318}"/>
    <cellStyle name="20% - Accent6 2 2 2 8" xfId="9105" xr:uid="{2D3B6B01-F2FB-4D08-A7F9-9902961EFB46}"/>
    <cellStyle name="20% - Accent6 2 2 2 9" xfId="9656" xr:uid="{3CCF6837-7FDD-4871-B076-BE086A17005B}"/>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75052CA1-505C-48C2-B3F5-EE788184F93C}"/>
    <cellStyle name="20% - Accent6 2 2 3 2 3" xfId="12214" xr:uid="{7441908F-17AA-415D-AE01-08220CAB5352}"/>
    <cellStyle name="20% - Accent6 2 2 3 3" xfId="4960" xr:uid="{00000000-0005-0000-0000-00003B030000}"/>
    <cellStyle name="20% - Accent6 2 2 3 3 2" xfId="14286" xr:uid="{6CEA8299-0B79-4C4C-B89E-EAC39F5F325E}"/>
    <cellStyle name="20% - Accent6 2 2 3 4" xfId="9323" xr:uid="{93CC3C58-EC1C-4AC6-8D02-E00EFD80A494}"/>
    <cellStyle name="20% - Accent6 2 2 3 5" xfId="10069" xr:uid="{0B9FF169-F606-406B-910F-19A5044D690C}"/>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BFF9F831-6F5A-4A37-9B05-FC7CA56D5ED8}"/>
    <cellStyle name="20% - Accent6 2 2 4 2 3" xfId="12627" xr:uid="{F3009C9F-0E5D-40F4-AC71-5887D81FE990}"/>
    <cellStyle name="20% - Accent6 2 2 4 3" xfId="5373" xr:uid="{00000000-0005-0000-0000-00003F030000}"/>
    <cellStyle name="20% - Accent6 2 2 4 3 2" xfId="14699" xr:uid="{3C7E2735-772A-445D-8966-0A8BB755F60A}"/>
    <cellStyle name="20% - Accent6 2 2 4 4" xfId="10482" xr:uid="{D2AA123C-4FB2-489E-8C15-94FFFA456EDF}"/>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C9D8F749-4D40-4B3C-812F-C556468826C7}"/>
    <cellStyle name="20% - Accent6 2 2 5 2 3" xfId="13040" xr:uid="{E0197585-11B7-44DB-A1CA-DE7BC8C03852}"/>
    <cellStyle name="20% - Accent6 2 2 5 3" xfId="5786" xr:uid="{00000000-0005-0000-0000-000043030000}"/>
    <cellStyle name="20% - Accent6 2 2 5 3 2" xfId="15112" xr:uid="{7F85155B-8131-44D5-9929-8A34437FC983}"/>
    <cellStyle name="20% - Accent6 2 2 5 4" xfId="10895" xr:uid="{35A23A79-AF3E-4CBD-BFAA-E6100E0B61D1}"/>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D4F0A897-99E2-4ECC-B34A-5303847C63B0}"/>
    <cellStyle name="20% - Accent6 2 2 6 2 3" xfId="13453" xr:uid="{5E504FC7-1418-4967-AB3B-AD4E828183FA}"/>
    <cellStyle name="20% - Accent6 2 2 6 3" xfId="6199" xr:uid="{00000000-0005-0000-0000-000047030000}"/>
    <cellStyle name="20% - Accent6 2 2 6 3 2" xfId="15525" xr:uid="{EE37400D-4074-4E23-B307-19C6A6C680EC}"/>
    <cellStyle name="20% - Accent6 2 2 6 4" xfId="11308" xr:uid="{3B5DF2BE-18ED-44DD-A5BC-007D79F28997}"/>
    <cellStyle name="20% - Accent6 2 2 7" xfId="2306" xr:uid="{00000000-0005-0000-0000-000048030000}"/>
    <cellStyle name="20% - Accent6 2 2 7 2" xfId="6612" xr:uid="{00000000-0005-0000-0000-000049030000}"/>
    <cellStyle name="20% - Accent6 2 2 7 2 2" xfId="15938" xr:uid="{E452EB65-A2E0-4CF0-9DD9-46521CB2E471}"/>
    <cellStyle name="20% - Accent6 2 2 7 3" xfId="11721" xr:uid="{F7DC2E6A-6673-45E7-836E-9F99418BCE14}"/>
    <cellStyle name="20% - Accent6 2 2 8" xfId="4546" xr:uid="{00000000-0005-0000-0000-00004A030000}"/>
    <cellStyle name="20% - Accent6 2 2 8 2" xfId="13872" xr:uid="{2EC2E3DE-9D63-4969-9E86-DA0AAB3DFB3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78A50D12-BF75-4326-B641-05C2258F7E1A}"/>
    <cellStyle name="20% - Accent6 2 3 2 2 3" xfId="12216" xr:uid="{D55EC22D-9465-421D-A973-F17C29BE77BC}"/>
    <cellStyle name="20% - Accent6 2 3 2 3" xfId="4962" xr:uid="{00000000-0005-0000-0000-00004F030000}"/>
    <cellStyle name="20% - Accent6 2 3 2 3 2" xfId="14288" xr:uid="{B8B8F6DB-DD29-499B-9AD7-349AFBCE5F32}"/>
    <cellStyle name="20% - Accent6 2 3 2 4" xfId="9427" xr:uid="{009378B6-C0A8-4C7C-A9A2-F91104842D93}"/>
    <cellStyle name="20% - Accent6 2 3 2 5" xfId="10071" xr:uid="{77EAC110-E879-48C0-A377-37D3D862BB49}"/>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E0F7C2E1-CDFA-4489-BEB4-A5D4974B35DC}"/>
    <cellStyle name="20% - Accent6 2 3 3 2 3" xfId="12629" xr:uid="{B62297B2-3E52-4372-9A63-5767E58C4E18}"/>
    <cellStyle name="20% - Accent6 2 3 3 3" xfId="5375" xr:uid="{00000000-0005-0000-0000-000053030000}"/>
    <cellStyle name="20% - Accent6 2 3 3 3 2" xfId="14701" xr:uid="{8BB82DB4-3A80-4829-9D7C-2E7A93E4CFD2}"/>
    <cellStyle name="20% - Accent6 2 3 3 4" xfId="10484" xr:uid="{EBD27590-AD9A-4C6B-87BA-CACC2F8A6662}"/>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4E48DDA9-F775-4928-8D86-C11D5ED765C8}"/>
    <cellStyle name="20% - Accent6 2 3 4 2 3" xfId="13042" xr:uid="{5C10ED57-C456-4D50-B755-D45B6899F16F}"/>
    <cellStyle name="20% - Accent6 2 3 4 3" xfId="5788" xr:uid="{00000000-0005-0000-0000-000057030000}"/>
    <cellStyle name="20% - Accent6 2 3 4 3 2" xfId="15114" xr:uid="{0A0DF355-4B11-437E-A01A-DACCF28E3D81}"/>
    <cellStyle name="20% - Accent6 2 3 4 4" xfId="10897" xr:uid="{4C5AB57F-32E9-4544-9236-64348765679E}"/>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1BC74E30-6C7D-4C98-A022-4EF5B26E8B5C}"/>
    <cellStyle name="20% - Accent6 2 3 5 2 3" xfId="13455" xr:uid="{E85DECF6-DEF1-439F-ADBB-AD54D555F15E}"/>
    <cellStyle name="20% - Accent6 2 3 5 3" xfId="6201" xr:uid="{00000000-0005-0000-0000-00005B030000}"/>
    <cellStyle name="20% - Accent6 2 3 5 3 2" xfId="15527" xr:uid="{D144CB45-1437-4035-B59D-94B20734F75A}"/>
    <cellStyle name="20% - Accent6 2 3 5 4" xfId="11310" xr:uid="{FD25EEA2-2BC0-417E-8D23-942CCFC9447B}"/>
    <cellStyle name="20% - Accent6 2 3 6" xfId="2308" xr:uid="{00000000-0005-0000-0000-00005C030000}"/>
    <cellStyle name="20% - Accent6 2 3 6 2" xfId="6614" xr:uid="{00000000-0005-0000-0000-00005D030000}"/>
    <cellStyle name="20% - Accent6 2 3 6 2 2" xfId="15940" xr:uid="{8C8691E6-7DBC-410F-9F60-DEFCB0AAC227}"/>
    <cellStyle name="20% - Accent6 2 3 6 3" xfId="11723" xr:uid="{0965E3D6-8200-43AD-A1FE-F1135F18B204}"/>
    <cellStyle name="20% - Accent6 2 3 7" xfId="4548" xr:uid="{00000000-0005-0000-0000-00005E030000}"/>
    <cellStyle name="20% - Accent6 2 3 7 2" xfId="13874" xr:uid="{D6716E2F-26B9-4042-89CE-B99AF9E54694}"/>
    <cellStyle name="20% - Accent6 2 3 8" xfId="9002" xr:uid="{F69877AB-868C-474F-8F88-C5F2F1F2C041}"/>
    <cellStyle name="20% - Accent6 2 3 9" xfId="9657" xr:uid="{CFF67A93-15A2-4D46-82C4-31CE2D37B811}"/>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0E6A0350-4EA5-47F2-9DC8-91E6F9D35CE7}"/>
    <cellStyle name="20% - Accent6 2 4 2 3" xfId="12213" xr:uid="{F5968F33-D7AD-4CD6-8D49-8E318C1EE142}"/>
    <cellStyle name="20% - Accent6 2 4 3" xfId="4959" xr:uid="{00000000-0005-0000-0000-000062030000}"/>
    <cellStyle name="20% - Accent6 2 4 3 2" xfId="14285" xr:uid="{AE8CFAA1-2334-4484-B177-553272E19C56}"/>
    <cellStyle name="20% - Accent6 2 4 4" xfId="9219" xr:uid="{C8AD75F8-261B-45C4-93F0-0E0A49EEEF79}"/>
    <cellStyle name="20% - Accent6 2 4 5" xfId="10068" xr:uid="{66D77968-74D4-425D-8A9A-CE5336817D5D}"/>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D2FF55CD-F6BD-48B1-B696-1F37AA68AA80}"/>
    <cellStyle name="20% - Accent6 2 5 2 3" xfId="12626" xr:uid="{A03769D0-5840-437F-B6C0-D20B566BA1B7}"/>
    <cellStyle name="20% - Accent6 2 5 3" xfId="5372" xr:uid="{00000000-0005-0000-0000-000066030000}"/>
    <cellStyle name="20% - Accent6 2 5 3 2" xfId="14698" xr:uid="{3170BECE-0C92-4100-AF78-413537D7E6C5}"/>
    <cellStyle name="20% - Accent6 2 5 4" xfId="10481" xr:uid="{3CC4E7F4-EAF6-4DD3-9BCE-D6AE45515A41}"/>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89735BC8-2080-43E6-A868-3CAF1B29AEAC}"/>
    <cellStyle name="20% - Accent6 2 6 2 3" xfId="13039" xr:uid="{5CCA38D9-4A4F-4154-8AD8-9C9ED8DF3318}"/>
    <cellStyle name="20% - Accent6 2 6 3" xfId="5785" xr:uid="{00000000-0005-0000-0000-00006A030000}"/>
    <cellStyle name="20% - Accent6 2 6 3 2" xfId="15111" xr:uid="{AF764F1F-6707-4971-A77E-737C499D3B79}"/>
    <cellStyle name="20% - Accent6 2 6 4" xfId="10894" xr:uid="{EC80D458-A7A7-42BB-8D7A-6F25FE3C2D0C}"/>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724B6A69-2459-446D-94DE-B01390EBF310}"/>
    <cellStyle name="20% - Accent6 2 7 2 3" xfId="13452" xr:uid="{A5C9DFE9-0C8F-4279-BAE7-75ACC554BDA1}"/>
    <cellStyle name="20% - Accent6 2 7 3" xfId="6198" xr:uid="{00000000-0005-0000-0000-00006E030000}"/>
    <cellStyle name="20% - Accent6 2 7 3 2" xfId="15524" xr:uid="{925E8D47-9C42-47E4-91DA-5496EDFFA256}"/>
    <cellStyle name="20% - Accent6 2 7 4" xfId="11307" xr:uid="{199B3176-FD02-4A6E-982C-A64FD2A586F8}"/>
    <cellStyle name="20% - Accent6 2 8" xfId="2305" xr:uid="{00000000-0005-0000-0000-00006F030000}"/>
    <cellStyle name="20% - Accent6 2 8 2" xfId="6611" xr:uid="{00000000-0005-0000-0000-000070030000}"/>
    <cellStyle name="20% - Accent6 2 8 2 2" xfId="15937" xr:uid="{05F7776A-69E1-43E1-A217-0B9DFB3197D3}"/>
    <cellStyle name="20% - Accent6 2 8 3" xfId="11720" xr:uid="{100A85A0-BE92-4791-AED4-ED6EF9CB6CA9}"/>
    <cellStyle name="20% - Accent6 2 9" xfId="4545" xr:uid="{00000000-0005-0000-0000-000071030000}"/>
    <cellStyle name="20% - Accent6 2 9 2" xfId="13871" xr:uid="{BC8CBA40-9054-46E4-8577-463C019D44CB}"/>
    <cellStyle name="20% - Accent6 3" xfId="46" xr:uid="{00000000-0005-0000-0000-000072030000}"/>
    <cellStyle name="20% - Accent6 3 10" xfId="9658" xr:uid="{7803B1C3-0F4D-4513-B090-D4D1CA85A10F}"/>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7EBA2A60-89FE-4DEC-921D-263FB54A573C}"/>
    <cellStyle name="20% - Accent6 3 2 2 2 3" xfId="12218" xr:uid="{091420A5-13CB-4E09-BC8E-D929FE551B78}"/>
    <cellStyle name="20% - Accent6 3 2 2 3" xfId="4964" xr:uid="{00000000-0005-0000-0000-000077030000}"/>
    <cellStyle name="20% - Accent6 3 2 2 3 2" xfId="14290" xr:uid="{FDBCB592-FEBE-449A-BADF-9D198740D276}"/>
    <cellStyle name="20% - Accent6 3 2 2 4" xfId="9503" xr:uid="{A5A3EDF8-16EA-4A86-8795-C3BA46FE244A}"/>
    <cellStyle name="20% - Accent6 3 2 2 5" xfId="10073" xr:uid="{EA502505-F243-44E3-A513-5CCB18D7C245}"/>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266556D9-0689-4CFE-9C50-A0E5D126EB4D}"/>
    <cellStyle name="20% - Accent6 3 2 3 2 3" xfId="12631" xr:uid="{91A8CAE5-BAF3-495B-92B9-31DFE56E7697}"/>
    <cellStyle name="20% - Accent6 3 2 3 3" xfId="5377" xr:uid="{00000000-0005-0000-0000-00007B030000}"/>
    <cellStyle name="20% - Accent6 3 2 3 3 2" xfId="14703" xr:uid="{59D73249-F721-4F3D-A786-9A39C5062E17}"/>
    <cellStyle name="20% - Accent6 3 2 3 4" xfId="10486" xr:uid="{7FB22661-3775-4977-A35B-C378FA5C8A38}"/>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31DACD2D-0EA4-4225-84B0-848ED95D4F1D}"/>
    <cellStyle name="20% - Accent6 3 2 4 2 3" xfId="13044" xr:uid="{4E5D8D85-5246-4ECE-B9D0-285744AE1F08}"/>
    <cellStyle name="20% - Accent6 3 2 4 3" xfId="5790" xr:uid="{00000000-0005-0000-0000-00007F030000}"/>
    <cellStyle name="20% - Accent6 3 2 4 3 2" xfId="15116" xr:uid="{4A95E9F1-BEC4-462A-882D-A44BFCA20928}"/>
    <cellStyle name="20% - Accent6 3 2 4 4" xfId="10899" xr:uid="{44074A0B-E301-454F-B66D-DC2FC4CF0589}"/>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19482DC4-C3F1-4F53-AA36-F087E4DD130A}"/>
    <cellStyle name="20% - Accent6 3 2 5 2 3" xfId="13457" xr:uid="{8D9DD6BC-D2B6-4F35-B6A5-5E3B44CE9AC9}"/>
    <cellStyle name="20% - Accent6 3 2 5 3" xfId="6203" xr:uid="{00000000-0005-0000-0000-000083030000}"/>
    <cellStyle name="20% - Accent6 3 2 5 3 2" xfId="15529" xr:uid="{0A978660-2AB6-4C48-B5F8-4FFB87CA79F4}"/>
    <cellStyle name="20% - Accent6 3 2 5 4" xfId="11312" xr:uid="{648F76C5-FF86-43A7-9A88-FDDE50E0AAF2}"/>
    <cellStyle name="20% - Accent6 3 2 6" xfId="2310" xr:uid="{00000000-0005-0000-0000-000084030000}"/>
    <cellStyle name="20% - Accent6 3 2 6 2" xfId="6616" xr:uid="{00000000-0005-0000-0000-000085030000}"/>
    <cellStyle name="20% - Accent6 3 2 6 2 2" xfId="15942" xr:uid="{56654EBF-104E-4DC5-8EC4-E55B57BA5252}"/>
    <cellStyle name="20% - Accent6 3 2 6 3" xfId="11725" xr:uid="{50D17D5C-DFB4-49B2-8F14-5A359DD1E2B9}"/>
    <cellStyle name="20% - Accent6 3 2 7" xfId="4550" xr:uid="{00000000-0005-0000-0000-000086030000}"/>
    <cellStyle name="20% - Accent6 3 2 7 2" xfId="13876" xr:uid="{15861664-9AE8-4676-8D98-90C0AD162CA3}"/>
    <cellStyle name="20% - Accent6 3 2 8" xfId="9078" xr:uid="{55C63253-C10A-44F0-A9A1-D3E9AD1B1E77}"/>
    <cellStyle name="20% - Accent6 3 2 9" xfId="9659" xr:uid="{D2B3699A-E9FD-460E-8BB4-77DB501FEF77}"/>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65469C12-7244-45B2-8888-C8F78798B66A}"/>
    <cellStyle name="20% - Accent6 3 3 2 3" xfId="12217" xr:uid="{0BB6B9D3-FB53-4DC7-97C7-61B6C59C0D59}"/>
    <cellStyle name="20% - Accent6 3 3 3" xfId="4963" xr:uid="{00000000-0005-0000-0000-00008A030000}"/>
    <cellStyle name="20% - Accent6 3 3 3 2" xfId="14289" xr:uid="{DA2C1E22-251E-4A10-8C8F-EAD16F6D02E3}"/>
    <cellStyle name="20% - Accent6 3 3 4" xfId="9296" xr:uid="{68DBDAD1-945F-459A-93CE-56D312D1EDE4}"/>
    <cellStyle name="20% - Accent6 3 3 5" xfId="10072" xr:uid="{9DE6AF7B-7358-484C-9608-650B879A9A6E}"/>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B1AA0565-AE12-4F2E-941B-AA1ACBF2E7D6}"/>
    <cellStyle name="20% - Accent6 3 4 2 3" xfId="12630" xr:uid="{5C6E542D-EBFD-4E02-AF4E-B8AB36F82A26}"/>
    <cellStyle name="20% - Accent6 3 4 3" xfId="5376" xr:uid="{00000000-0005-0000-0000-00008E030000}"/>
    <cellStyle name="20% - Accent6 3 4 3 2" xfId="14702" xr:uid="{5A79B31A-59B2-4509-85B3-3E77D2C6BD0F}"/>
    <cellStyle name="20% - Accent6 3 4 4" xfId="10485" xr:uid="{3B4DA53E-83CD-4861-B116-CEB065923600}"/>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E407D7CB-1C02-4368-9389-088055175752}"/>
    <cellStyle name="20% - Accent6 3 5 2 3" xfId="13043" xr:uid="{9A303564-72F7-4332-AA08-CC8E02F76BAB}"/>
    <cellStyle name="20% - Accent6 3 5 3" xfId="5789" xr:uid="{00000000-0005-0000-0000-000092030000}"/>
    <cellStyle name="20% - Accent6 3 5 3 2" xfId="15115" xr:uid="{6AE83D1D-E08F-4379-B1C7-C3A148EFC7AF}"/>
    <cellStyle name="20% - Accent6 3 5 4" xfId="10898" xr:uid="{1F67F3DF-DF96-49F5-BC91-DDB349E531A6}"/>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CE2D1B59-418F-41D3-BA58-2F6721ABE3FC}"/>
    <cellStyle name="20% - Accent6 3 6 2 3" xfId="13456" xr:uid="{23E521C8-CE59-47B3-B03D-41880BFE79A7}"/>
    <cellStyle name="20% - Accent6 3 6 3" xfId="6202" xr:uid="{00000000-0005-0000-0000-000096030000}"/>
    <cellStyle name="20% - Accent6 3 6 3 2" xfId="15528" xr:uid="{97C12EC9-0786-4C0E-9642-6661DAC391F7}"/>
    <cellStyle name="20% - Accent6 3 6 4" xfId="11311" xr:uid="{9A399973-56DE-4218-A68E-8E4B32B42B84}"/>
    <cellStyle name="20% - Accent6 3 7" xfId="2309" xr:uid="{00000000-0005-0000-0000-000097030000}"/>
    <cellStyle name="20% - Accent6 3 7 2" xfId="6615" xr:uid="{00000000-0005-0000-0000-000098030000}"/>
    <cellStyle name="20% - Accent6 3 7 2 2" xfId="15941" xr:uid="{62EE8FE1-0CF6-44EE-979E-305B680E3DEB}"/>
    <cellStyle name="20% - Accent6 3 7 3" xfId="11724" xr:uid="{772606CD-C03A-4D5F-9B74-4083D71A998D}"/>
    <cellStyle name="20% - Accent6 3 8" xfId="4549" xr:uid="{00000000-0005-0000-0000-000099030000}"/>
    <cellStyle name="20% - Accent6 3 8 2" xfId="13875" xr:uid="{0C519AEE-8260-4E48-937D-10093134607D}"/>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1192CD36-5742-411F-81B3-742D29E6BB5B}"/>
    <cellStyle name="20% - Accent6 4 2 2 3" xfId="12219" xr:uid="{59D57EB5-B64E-4A50-9B62-F18FBFC9686B}"/>
    <cellStyle name="20% - Accent6 4 2 3" xfId="4965" xr:uid="{00000000-0005-0000-0000-00009E030000}"/>
    <cellStyle name="20% - Accent6 4 2 3 2" xfId="14291" xr:uid="{3B22B5FA-09AA-480D-A673-CB4B80D5E5B1}"/>
    <cellStyle name="20% - Accent6 4 2 4" xfId="9382" xr:uid="{704ED43C-A59A-4E80-A03F-B933767E3A55}"/>
    <cellStyle name="20% - Accent6 4 2 5" xfId="10074" xr:uid="{6BC9D105-9620-49E1-9CBD-6F766DE5FC19}"/>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F062F421-3591-47F1-BB62-A1BAC0E393AE}"/>
    <cellStyle name="20% - Accent6 4 3 2 3" xfId="12632" xr:uid="{80E0F427-F4DD-483B-9950-8951DEE12A3B}"/>
    <cellStyle name="20% - Accent6 4 3 3" xfId="5378" xr:uid="{00000000-0005-0000-0000-0000A2030000}"/>
    <cellStyle name="20% - Accent6 4 3 3 2" xfId="14704" xr:uid="{888179B2-AF96-4D90-BB58-9A6C8A1DF52E}"/>
    <cellStyle name="20% - Accent6 4 3 4" xfId="10487" xr:uid="{F0E686CA-883A-44D9-A94E-284FCFE8957E}"/>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D0F5CD28-E56B-416C-89C7-60EEA0A66CA5}"/>
    <cellStyle name="20% - Accent6 4 4 2 3" xfId="13045" xr:uid="{44B98633-1FA5-4B96-9F14-A02438ECF534}"/>
    <cellStyle name="20% - Accent6 4 4 3" xfId="5791" xr:uid="{00000000-0005-0000-0000-0000A6030000}"/>
    <cellStyle name="20% - Accent6 4 4 3 2" xfId="15117" xr:uid="{8EE92514-806E-438D-A12C-222DC07D0871}"/>
    <cellStyle name="20% - Accent6 4 4 4" xfId="10900" xr:uid="{B4455E4F-F75E-47D0-8B5B-DCEC71F29A8D}"/>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60E51D26-D41C-4FB1-91D9-B44C16ADA834}"/>
    <cellStyle name="20% - Accent6 4 5 2 3" xfId="13458" xr:uid="{41004E2A-935E-44A5-92D3-C8A3953C5E50}"/>
    <cellStyle name="20% - Accent6 4 5 3" xfId="6204" xr:uid="{00000000-0005-0000-0000-0000AA030000}"/>
    <cellStyle name="20% - Accent6 4 5 3 2" xfId="15530" xr:uid="{C66B1847-6037-4E7D-BD1F-5CF16B95F190}"/>
    <cellStyle name="20% - Accent6 4 5 4" xfId="11313" xr:uid="{F6D30D8C-8885-41EB-B886-3DCBDE5C8F29}"/>
    <cellStyle name="20% - Accent6 4 6" xfId="2311" xr:uid="{00000000-0005-0000-0000-0000AB030000}"/>
    <cellStyle name="20% - Accent6 4 6 2" xfId="6617" xr:uid="{00000000-0005-0000-0000-0000AC030000}"/>
    <cellStyle name="20% - Accent6 4 6 2 2" xfId="15943" xr:uid="{E40CF40A-E8CE-4050-99E9-DA5AB16C6052}"/>
    <cellStyle name="20% - Accent6 4 6 3" xfId="11726" xr:uid="{A0BA3EEE-E592-411A-986B-AC428207FC99}"/>
    <cellStyle name="20% - Accent6 4 7" xfId="4551" xr:uid="{00000000-0005-0000-0000-0000AD030000}"/>
    <cellStyle name="20% - Accent6 4 7 2" xfId="13877" xr:uid="{2169B260-4C06-4185-9CA7-CFF745E35A55}"/>
    <cellStyle name="20% - Accent6 4 8" xfId="8957" xr:uid="{03E1DA3A-6A3F-4C0D-9844-2D38E7BA13BC}"/>
    <cellStyle name="20% - Accent6 4 9" xfId="9660" xr:uid="{3404EBE6-2BE8-429B-A949-B07EC48FE4E4}"/>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D9C9DD2C-DEF8-45A5-B938-DAF1BFDE1F1B}"/>
    <cellStyle name="20% - Accent6 5 2 3" xfId="12212" xr:uid="{9F7640A9-E40C-4B59-B006-654E9E97F166}"/>
    <cellStyle name="20% - Accent6 5 3" xfId="4958" xr:uid="{00000000-0005-0000-0000-0000B1030000}"/>
    <cellStyle name="20% - Accent6 5 3 2" xfId="14284" xr:uid="{E210210B-66D5-4B09-B996-F9B54A9F084F}"/>
    <cellStyle name="20% - Accent6 5 4" xfId="9191" xr:uid="{C812E2E5-5572-4E86-9CB6-C7C53792C044}"/>
    <cellStyle name="20% - Accent6 5 5" xfId="10067" xr:uid="{81A7A6B3-8A85-470D-A916-18B77F21A51F}"/>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337D9CFB-9873-45A4-8814-C0B233654EDF}"/>
    <cellStyle name="20% - Accent6 6 2 3" xfId="12625" xr:uid="{A72B73D6-12AC-4D44-A993-571CFBB2DF69}"/>
    <cellStyle name="20% - Accent6 6 3" xfId="5371" xr:uid="{00000000-0005-0000-0000-0000B5030000}"/>
    <cellStyle name="20% - Accent6 6 3 2" xfId="14697" xr:uid="{594F9F3E-81E2-4EFC-AA11-0B0EA0AC0F45}"/>
    <cellStyle name="20% - Accent6 6 4" xfId="10480" xr:uid="{4420BCD2-B2C5-44E2-8058-AF99F6D667B7}"/>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8CFE8D23-7C48-431E-B208-73E4309D27B1}"/>
    <cellStyle name="20% - Accent6 7 2 3" xfId="13038" xr:uid="{16BBBFD6-33B8-42AF-BEF9-C740751A5984}"/>
    <cellStyle name="20% - Accent6 7 3" xfId="5784" xr:uid="{00000000-0005-0000-0000-0000B9030000}"/>
    <cellStyle name="20% - Accent6 7 3 2" xfId="15110" xr:uid="{3BAB5C3F-15F0-4A0A-AF1B-97D37E4E1CE2}"/>
    <cellStyle name="20% - Accent6 7 4" xfId="10893" xr:uid="{C3839F8A-BEE3-4D68-9429-64D38CF0C671}"/>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CF4AC05F-C99E-4FBD-A1E0-117E97568C24}"/>
    <cellStyle name="20% - Accent6 8 2 3" xfId="13451" xr:uid="{6E316844-3BFD-4002-8A20-B07EEB411B65}"/>
    <cellStyle name="20% - Accent6 8 3" xfId="6197" xr:uid="{00000000-0005-0000-0000-0000BD030000}"/>
    <cellStyle name="20% - Accent6 8 3 2" xfId="15523" xr:uid="{27230246-2B62-4BB6-999A-63F1A4C4CAA7}"/>
    <cellStyle name="20% - Accent6 8 4" xfId="11306" xr:uid="{7C011F5B-A5C8-45E8-AFD7-C1DE894A2285}"/>
    <cellStyle name="20% - Accent6 9" xfId="2304" xr:uid="{00000000-0005-0000-0000-0000BE030000}"/>
    <cellStyle name="20% - Accent6 9 2" xfId="6610" xr:uid="{00000000-0005-0000-0000-0000BF030000}"/>
    <cellStyle name="20% - Accent6 9 2 2" xfId="15936" xr:uid="{F1837309-93C2-4C45-9132-C0950F0121B2}"/>
    <cellStyle name="20% - Accent6 9 3" xfId="11719" xr:uid="{37B303D7-C8F3-40E1-AC36-D4E13916679D}"/>
    <cellStyle name="40% - Accent1" xfId="49" builtinId="31" customBuiltin="1"/>
    <cellStyle name="40% - Accent1 10" xfId="4552" xr:uid="{00000000-0005-0000-0000-0000C1030000}"/>
    <cellStyle name="40% - Accent1 10 2" xfId="13878" xr:uid="{A293AF47-F0FF-4C19-A148-A712AA88FA12}"/>
    <cellStyle name="40% - Accent1 11" xfId="8759" xr:uid="{E0AA4078-00FF-4C00-81ED-1F048AC6C533}"/>
    <cellStyle name="40% - Accent1 12" xfId="9661" xr:uid="{72129324-33F5-46EB-B751-FAF97652A0FC}"/>
    <cellStyle name="40% - Accent1 2" xfId="50" xr:uid="{00000000-0005-0000-0000-0000C2030000}"/>
    <cellStyle name="40% - Accent1 2 10" xfId="8798" xr:uid="{82026451-631C-40CA-BC49-BE5DA2EA921A}"/>
    <cellStyle name="40% - Accent1 2 11" xfId="9662" xr:uid="{FFF38FC4-CDE7-4B76-A04F-4FE88AB1F4CD}"/>
    <cellStyle name="40% - Accent1 2 2" xfId="51" xr:uid="{00000000-0005-0000-0000-0000C3030000}"/>
    <cellStyle name="40% - Accent1 2 2 10" xfId="9663" xr:uid="{0E8BCF21-0D9B-4C90-B0EF-BE871D92C05E}"/>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A1DD42E9-2E2E-49D5-83CE-E3A22F0CD85D}"/>
    <cellStyle name="40% - Accent1 2 2 2 2 2 3" xfId="12223" xr:uid="{A6B7AE7A-5512-41F4-AE93-EAD6A64407F8}"/>
    <cellStyle name="40% - Accent1 2 2 2 2 3" xfId="4969" xr:uid="{00000000-0005-0000-0000-0000C8030000}"/>
    <cellStyle name="40% - Accent1 2 2 2 2 3 2" xfId="14295" xr:uid="{60BF5006-49B7-49F0-923C-24D87AA0F303}"/>
    <cellStyle name="40% - Accent1 2 2 2 2 4" xfId="9533" xr:uid="{757B5AC4-115E-4B90-B4EA-505C31F9B178}"/>
    <cellStyle name="40% - Accent1 2 2 2 2 5" xfId="10078" xr:uid="{D97F22A1-74E0-470B-B8FF-4BBA97F99636}"/>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99E2F922-3A01-40CB-B976-6BCDA66CFDE6}"/>
    <cellStyle name="40% - Accent1 2 2 2 3 2 3" xfId="12636" xr:uid="{9D9EB407-3738-4EE2-9D03-F7261BD43A3C}"/>
    <cellStyle name="40% - Accent1 2 2 2 3 3" xfId="5382" xr:uid="{00000000-0005-0000-0000-0000CC030000}"/>
    <cellStyle name="40% - Accent1 2 2 2 3 3 2" xfId="14708" xr:uid="{EB667580-A0E0-480D-8773-95CDBC0BC779}"/>
    <cellStyle name="40% - Accent1 2 2 2 3 4" xfId="10491" xr:uid="{B93F8F33-0727-414B-897A-BD46AE2A4634}"/>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00122B08-EDAF-45F1-B42E-6F73B1EAF586}"/>
    <cellStyle name="40% - Accent1 2 2 2 4 2 3" xfId="13049" xr:uid="{CB713F80-C0D5-4801-A883-94887EF35919}"/>
    <cellStyle name="40% - Accent1 2 2 2 4 3" xfId="5795" xr:uid="{00000000-0005-0000-0000-0000D0030000}"/>
    <cellStyle name="40% - Accent1 2 2 2 4 3 2" xfId="15121" xr:uid="{49D96FF0-6FDE-4185-8F98-3E32DCABADFA}"/>
    <cellStyle name="40% - Accent1 2 2 2 4 4" xfId="10904" xr:uid="{8D525A73-D9F9-4D37-A0F8-04C17E4A1AEC}"/>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6510C924-0619-454D-B1BA-1FD55163D6AE}"/>
    <cellStyle name="40% - Accent1 2 2 2 5 2 3" xfId="13462" xr:uid="{082B223E-BE04-42E5-AE0A-6B56F3502B23}"/>
    <cellStyle name="40% - Accent1 2 2 2 5 3" xfId="6208" xr:uid="{00000000-0005-0000-0000-0000D4030000}"/>
    <cellStyle name="40% - Accent1 2 2 2 5 3 2" xfId="15534" xr:uid="{C00FAE68-19E9-4004-93FF-A6780C6FB33A}"/>
    <cellStyle name="40% - Accent1 2 2 2 5 4" xfId="11317" xr:uid="{0F36BA64-EEB7-4C5B-817C-213E18CB3FD4}"/>
    <cellStyle name="40% - Accent1 2 2 2 6" xfId="2315" xr:uid="{00000000-0005-0000-0000-0000D5030000}"/>
    <cellStyle name="40% - Accent1 2 2 2 6 2" xfId="6621" xr:uid="{00000000-0005-0000-0000-0000D6030000}"/>
    <cellStyle name="40% - Accent1 2 2 2 6 2 2" xfId="15947" xr:uid="{DB278AF9-6D1E-4193-B3B7-394A4302542A}"/>
    <cellStyle name="40% - Accent1 2 2 2 6 3" xfId="11730" xr:uid="{CDAC62C0-ACD6-4C80-89A3-7CCC99B61B14}"/>
    <cellStyle name="40% - Accent1 2 2 2 7" xfId="4555" xr:uid="{00000000-0005-0000-0000-0000D7030000}"/>
    <cellStyle name="40% - Accent1 2 2 2 7 2" xfId="13881" xr:uid="{4192348E-D38F-45FE-BA52-6D03EA820F1C}"/>
    <cellStyle name="40% - Accent1 2 2 2 8" xfId="9108" xr:uid="{1189B5E8-DD3C-4F9A-ACD3-DB853C0AC60B}"/>
    <cellStyle name="40% - Accent1 2 2 2 9" xfId="9664" xr:uid="{8DDF24DF-8E69-49C9-94C4-F072306CD0C6}"/>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557EC398-4C4A-4231-8982-A47CC9AC5843}"/>
    <cellStyle name="40% - Accent1 2 2 3 2 3" xfId="12222" xr:uid="{85C1631D-0BA6-48CF-985C-57374420DF28}"/>
    <cellStyle name="40% - Accent1 2 2 3 3" xfId="4968" xr:uid="{00000000-0005-0000-0000-0000DB030000}"/>
    <cellStyle name="40% - Accent1 2 2 3 3 2" xfId="14294" xr:uid="{F006895E-C7E4-4C6B-B636-38C78B989156}"/>
    <cellStyle name="40% - Accent1 2 2 3 4" xfId="9326" xr:uid="{6D693950-F4D3-4A82-8C01-49E2379281D4}"/>
    <cellStyle name="40% - Accent1 2 2 3 5" xfId="10077" xr:uid="{EE3B0F35-96A4-4398-AA93-D71893719D4C}"/>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0B9CCE8E-43D7-4C4E-B1BE-ADB34547A4ED}"/>
    <cellStyle name="40% - Accent1 2 2 4 2 3" xfId="12635" xr:uid="{453799D3-4CB6-4F7D-8877-3E827F49B47D}"/>
    <cellStyle name="40% - Accent1 2 2 4 3" xfId="5381" xr:uid="{00000000-0005-0000-0000-0000DF030000}"/>
    <cellStyle name="40% - Accent1 2 2 4 3 2" xfId="14707" xr:uid="{7212B229-DA93-4643-8853-77BCA8796762}"/>
    <cellStyle name="40% - Accent1 2 2 4 4" xfId="10490" xr:uid="{6CB71607-41AF-41D5-8897-835F5FE3EBAC}"/>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6660FEDA-1F09-4773-802B-FDEDADA84CE7}"/>
    <cellStyle name="40% - Accent1 2 2 5 2 3" xfId="13048" xr:uid="{6F501C36-8DFA-4894-81EB-524EFE3ADF94}"/>
    <cellStyle name="40% - Accent1 2 2 5 3" xfId="5794" xr:uid="{00000000-0005-0000-0000-0000E3030000}"/>
    <cellStyle name="40% - Accent1 2 2 5 3 2" xfId="15120" xr:uid="{18B310FE-5503-456F-9F11-FE27592D55FF}"/>
    <cellStyle name="40% - Accent1 2 2 5 4" xfId="10903" xr:uid="{6584E75B-9C1A-4FF7-B49E-B9385422A6CD}"/>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4926190C-5404-4632-A99C-78FF221A3DE6}"/>
    <cellStyle name="40% - Accent1 2 2 6 2 3" xfId="13461" xr:uid="{DCC4EC2E-967C-4AE7-BCC8-B97DE54F97D8}"/>
    <cellStyle name="40% - Accent1 2 2 6 3" xfId="6207" xr:uid="{00000000-0005-0000-0000-0000E7030000}"/>
    <cellStyle name="40% - Accent1 2 2 6 3 2" xfId="15533" xr:uid="{892D5425-5C86-40A7-85BF-0B9CBA3577FD}"/>
    <cellStyle name="40% - Accent1 2 2 6 4" xfId="11316" xr:uid="{320B76A2-2869-4A0A-ACCA-1BB7DD2E5AE4}"/>
    <cellStyle name="40% - Accent1 2 2 7" xfId="2314" xr:uid="{00000000-0005-0000-0000-0000E8030000}"/>
    <cellStyle name="40% - Accent1 2 2 7 2" xfId="6620" xr:uid="{00000000-0005-0000-0000-0000E9030000}"/>
    <cellStyle name="40% - Accent1 2 2 7 2 2" xfId="15946" xr:uid="{1A863B30-DF7A-4CA8-8B7C-523E865F9305}"/>
    <cellStyle name="40% - Accent1 2 2 7 3" xfId="11729" xr:uid="{422BF1D3-835A-415B-B9A2-3B6E3045AC38}"/>
    <cellStyle name="40% - Accent1 2 2 8" xfId="4554" xr:uid="{00000000-0005-0000-0000-0000EA030000}"/>
    <cellStyle name="40% - Accent1 2 2 8 2" xfId="13880" xr:uid="{7EF95A89-C279-4ABA-BCCF-222E3284A01E}"/>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F88DAA42-1E37-46EE-A249-A6E69C73FB9D}"/>
    <cellStyle name="40% - Accent1 2 3 2 2 3" xfId="12224" xr:uid="{D408DED3-2680-46A3-9C4A-FE27CCD55A0B}"/>
    <cellStyle name="40% - Accent1 2 3 2 3" xfId="4970" xr:uid="{00000000-0005-0000-0000-0000EF030000}"/>
    <cellStyle name="40% - Accent1 2 3 2 3 2" xfId="14296" xr:uid="{7B97B796-B2F4-4576-B80A-8600EFA48D98}"/>
    <cellStyle name="40% - Accent1 2 3 2 4" xfId="9430" xr:uid="{C79D1FB2-141C-4301-8F37-B3B9643C0550}"/>
    <cellStyle name="40% - Accent1 2 3 2 5" xfId="10079" xr:uid="{9B1B0A78-223F-4021-BBD8-963912FFE8AA}"/>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8B3FBE31-77EC-4382-81D7-7EC722816B02}"/>
    <cellStyle name="40% - Accent1 2 3 3 2 3" xfId="12637" xr:uid="{11A5D649-FE0C-4CA0-A2B8-CD57020A600C}"/>
    <cellStyle name="40% - Accent1 2 3 3 3" xfId="5383" xr:uid="{00000000-0005-0000-0000-0000F3030000}"/>
    <cellStyle name="40% - Accent1 2 3 3 3 2" xfId="14709" xr:uid="{7D5C477C-B96E-48A9-9E23-FF354E58B1F8}"/>
    <cellStyle name="40% - Accent1 2 3 3 4" xfId="10492" xr:uid="{4756F352-AC7F-449B-8D2C-A74683160EA7}"/>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F18FA3F5-B78B-4F4A-A372-AEFB33A9D719}"/>
    <cellStyle name="40% - Accent1 2 3 4 2 3" xfId="13050" xr:uid="{9CE14D83-B70F-438D-BA94-97BF3BD958B1}"/>
    <cellStyle name="40% - Accent1 2 3 4 3" xfId="5796" xr:uid="{00000000-0005-0000-0000-0000F7030000}"/>
    <cellStyle name="40% - Accent1 2 3 4 3 2" xfId="15122" xr:uid="{73F911EF-7674-49DE-B6F3-F62CF9EFBFB3}"/>
    <cellStyle name="40% - Accent1 2 3 4 4" xfId="10905" xr:uid="{601926C1-3FBB-4914-ABC4-508BA77A2E68}"/>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EFFD178A-0A91-444C-9D8E-D13E53ED2154}"/>
    <cellStyle name="40% - Accent1 2 3 5 2 3" xfId="13463" xr:uid="{E0553982-AAAF-4EAB-99BE-8D796B294C70}"/>
    <cellStyle name="40% - Accent1 2 3 5 3" xfId="6209" xr:uid="{00000000-0005-0000-0000-0000FB030000}"/>
    <cellStyle name="40% - Accent1 2 3 5 3 2" xfId="15535" xr:uid="{B743BCC8-B5B8-4D2B-9C89-CE216C7D331E}"/>
    <cellStyle name="40% - Accent1 2 3 5 4" xfId="11318" xr:uid="{6E41E9B5-21BF-4C6B-922C-2E2A491C7CA2}"/>
    <cellStyle name="40% - Accent1 2 3 6" xfId="2316" xr:uid="{00000000-0005-0000-0000-0000FC030000}"/>
    <cellStyle name="40% - Accent1 2 3 6 2" xfId="6622" xr:uid="{00000000-0005-0000-0000-0000FD030000}"/>
    <cellStyle name="40% - Accent1 2 3 6 2 2" xfId="15948" xr:uid="{00D8119A-01CD-44AF-BEE7-C447D97BE29B}"/>
    <cellStyle name="40% - Accent1 2 3 6 3" xfId="11731" xr:uid="{9BBBD03F-4D47-49D4-BBA6-02A86A8704CD}"/>
    <cellStyle name="40% - Accent1 2 3 7" xfId="4556" xr:uid="{00000000-0005-0000-0000-0000FE030000}"/>
    <cellStyle name="40% - Accent1 2 3 7 2" xfId="13882" xr:uid="{CB33638C-F798-4B63-930F-97A81BF39E35}"/>
    <cellStyle name="40% - Accent1 2 3 8" xfId="9005" xr:uid="{83AF69B9-664F-4E19-B721-7989C2FEBC0C}"/>
    <cellStyle name="40% - Accent1 2 3 9" xfId="9665" xr:uid="{3E1C957D-AEA2-4FA0-990A-20E4EB1A3A5F}"/>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66BCAC3A-1175-4E22-B906-12125D5024A6}"/>
    <cellStyle name="40% - Accent1 2 4 2 3" xfId="12221" xr:uid="{025FBB51-FB83-414E-9B4C-F75BFB85F67E}"/>
    <cellStyle name="40% - Accent1 2 4 3" xfId="4967" xr:uid="{00000000-0005-0000-0000-000002040000}"/>
    <cellStyle name="40% - Accent1 2 4 3 2" xfId="14293" xr:uid="{A0B98332-90CB-45AF-87DF-F1C3E8A26EE8}"/>
    <cellStyle name="40% - Accent1 2 4 4" xfId="9222" xr:uid="{A6B83122-AC98-4E58-AA4D-EC5ECC38FC6B}"/>
    <cellStyle name="40% - Accent1 2 4 5" xfId="10076" xr:uid="{2965AB77-5661-4025-82C6-B0C0DAC59990}"/>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8C61D964-61E2-4A58-804D-0CA5B3BB572C}"/>
    <cellStyle name="40% - Accent1 2 5 2 3" xfId="12634" xr:uid="{AA622554-6009-421E-B635-F40B2FA164D3}"/>
    <cellStyle name="40% - Accent1 2 5 3" xfId="5380" xr:uid="{00000000-0005-0000-0000-000006040000}"/>
    <cellStyle name="40% - Accent1 2 5 3 2" xfId="14706" xr:uid="{29ED1047-A6FE-4ACC-9060-59EE75534699}"/>
    <cellStyle name="40% - Accent1 2 5 4" xfId="10489" xr:uid="{937CFDEA-C10C-4EE9-87B2-C58A5B9C7BF4}"/>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1475613D-4E1A-4F00-854D-1BE724050B05}"/>
    <cellStyle name="40% - Accent1 2 6 2 3" xfId="13047" xr:uid="{616B4A9D-6F20-4739-81FB-530606840C76}"/>
    <cellStyle name="40% - Accent1 2 6 3" xfId="5793" xr:uid="{00000000-0005-0000-0000-00000A040000}"/>
    <cellStyle name="40% - Accent1 2 6 3 2" xfId="15119" xr:uid="{358B71FB-F9E8-4393-AEE7-E34EE654A5EE}"/>
    <cellStyle name="40% - Accent1 2 6 4" xfId="10902" xr:uid="{55637E7F-2E86-41CD-B07F-7E8425D88D9D}"/>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377186DA-D090-43D3-94E1-1FDB6EC617A4}"/>
    <cellStyle name="40% - Accent1 2 7 2 3" xfId="13460" xr:uid="{560DF73C-EDC5-4DF9-861B-1EB9CBF84CE0}"/>
    <cellStyle name="40% - Accent1 2 7 3" xfId="6206" xr:uid="{00000000-0005-0000-0000-00000E040000}"/>
    <cellStyle name="40% - Accent1 2 7 3 2" xfId="15532" xr:uid="{BBC033FB-1632-4B62-9CCF-84923F2E0440}"/>
    <cellStyle name="40% - Accent1 2 7 4" xfId="11315" xr:uid="{5C7F2087-727E-46E9-9FE4-082A8EB08A67}"/>
    <cellStyle name="40% - Accent1 2 8" xfId="2313" xr:uid="{00000000-0005-0000-0000-00000F040000}"/>
    <cellStyle name="40% - Accent1 2 8 2" xfId="6619" xr:uid="{00000000-0005-0000-0000-000010040000}"/>
    <cellStyle name="40% - Accent1 2 8 2 2" xfId="15945" xr:uid="{38822977-A8CF-4345-95F7-594979D016B2}"/>
    <cellStyle name="40% - Accent1 2 8 3" xfId="11728" xr:uid="{CBB8B9C8-1917-4C1F-AB24-62898B8F08BF}"/>
    <cellStyle name="40% - Accent1 2 9" xfId="4553" xr:uid="{00000000-0005-0000-0000-000011040000}"/>
    <cellStyle name="40% - Accent1 2 9 2" xfId="13879" xr:uid="{40FF2463-142F-450D-922A-90B1E38EB9B5}"/>
    <cellStyle name="40% - Accent1 3" xfId="54" xr:uid="{00000000-0005-0000-0000-000012040000}"/>
    <cellStyle name="40% - Accent1 3 10" xfId="9666" xr:uid="{9399793E-1AFC-47F4-A811-D8372F11BFFB}"/>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70DA0233-1CCD-4632-9BB6-C05B75A00915}"/>
    <cellStyle name="40% - Accent1 3 2 2 2 3" xfId="12226" xr:uid="{77CADAC4-F3EC-4CC1-A1CA-8455769E3AC5}"/>
    <cellStyle name="40% - Accent1 3 2 2 3" xfId="4972" xr:uid="{00000000-0005-0000-0000-000017040000}"/>
    <cellStyle name="40% - Accent1 3 2 2 3 2" xfId="14298" xr:uid="{7756D294-E3FE-4F0B-8C8F-7ED5FC16A99C}"/>
    <cellStyle name="40% - Accent1 3 2 2 4" xfId="9494" xr:uid="{49092FA9-F337-44E8-98C8-15711B1C1558}"/>
    <cellStyle name="40% - Accent1 3 2 2 5" xfId="10081" xr:uid="{50007485-2881-4EF8-B74E-E97BD8037C3F}"/>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C0E53595-A014-4A72-BE34-22B5D4289B1A}"/>
    <cellStyle name="40% - Accent1 3 2 3 2 3" xfId="12639" xr:uid="{C82C5FFE-1E4B-402F-B812-D3E056A5A3BD}"/>
    <cellStyle name="40% - Accent1 3 2 3 3" xfId="5385" xr:uid="{00000000-0005-0000-0000-00001B040000}"/>
    <cellStyle name="40% - Accent1 3 2 3 3 2" xfId="14711" xr:uid="{CE6D7FE2-4C2B-4BB4-B689-64AB4CE6C07E}"/>
    <cellStyle name="40% - Accent1 3 2 3 4" xfId="10494" xr:uid="{2A7ABCFA-1582-4395-BB6A-6C9CC8B203E6}"/>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A4EE31AD-4BD5-4DE0-8DD9-6E053A00A7D5}"/>
    <cellStyle name="40% - Accent1 3 2 4 2 3" xfId="13052" xr:uid="{FD4C7287-6730-42A1-A306-C6328DADAAF2}"/>
    <cellStyle name="40% - Accent1 3 2 4 3" xfId="5798" xr:uid="{00000000-0005-0000-0000-00001F040000}"/>
    <cellStyle name="40% - Accent1 3 2 4 3 2" xfId="15124" xr:uid="{9CC58FB8-300E-4920-9555-6754F6570978}"/>
    <cellStyle name="40% - Accent1 3 2 4 4" xfId="10907" xr:uid="{38897C15-3314-4C39-A074-DDD4D2679C9C}"/>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C86D8484-E496-4FC5-AA48-64C6012428E3}"/>
    <cellStyle name="40% - Accent1 3 2 5 2 3" xfId="13465" xr:uid="{CF2AED07-6140-49C8-9854-09FE756B6218}"/>
    <cellStyle name="40% - Accent1 3 2 5 3" xfId="6211" xr:uid="{00000000-0005-0000-0000-000023040000}"/>
    <cellStyle name="40% - Accent1 3 2 5 3 2" xfId="15537" xr:uid="{12C5138F-075F-476F-A904-5A35CD9784A4}"/>
    <cellStyle name="40% - Accent1 3 2 5 4" xfId="11320" xr:uid="{3B79AA73-5C03-4BBB-8DC6-3BA96E52B0A6}"/>
    <cellStyle name="40% - Accent1 3 2 6" xfId="2318" xr:uid="{00000000-0005-0000-0000-000024040000}"/>
    <cellStyle name="40% - Accent1 3 2 6 2" xfId="6624" xr:uid="{00000000-0005-0000-0000-000025040000}"/>
    <cellStyle name="40% - Accent1 3 2 6 2 2" xfId="15950" xr:uid="{9B124FDC-307F-4FA9-9E2B-C6DF07E0E98E}"/>
    <cellStyle name="40% - Accent1 3 2 6 3" xfId="11733" xr:uid="{E40B786F-B988-44F6-B594-6FC810BBB5A8}"/>
    <cellStyle name="40% - Accent1 3 2 7" xfId="4558" xr:uid="{00000000-0005-0000-0000-000026040000}"/>
    <cellStyle name="40% - Accent1 3 2 7 2" xfId="13884" xr:uid="{D76458B0-E5A1-4A87-B8E6-24C53CF559B7}"/>
    <cellStyle name="40% - Accent1 3 2 8" xfId="9069" xr:uid="{F3D9FD63-8946-4492-B81A-42936E8B246D}"/>
    <cellStyle name="40% - Accent1 3 2 9" xfId="9667" xr:uid="{C61CE426-9BBE-4EA1-8EE9-22F8FB0E3D6A}"/>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9E61DA08-0C01-4444-BBC1-01BE6F098ABF}"/>
    <cellStyle name="40% - Accent1 3 3 2 3" xfId="12225" xr:uid="{D28B433E-8FC9-42DD-83B2-CC28C0467184}"/>
    <cellStyle name="40% - Accent1 3 3 3" xfId="4971" xr:uid="{00000000-0005-0000-0000-00002A040000}"/>
    <cellStyle name="40% - Accent1 3 3 3 2" xfId="14297" xr:uid="{723CAE17-DE34-452D-8781-AF2F15DFAFDA}"/>
    <cellStyle name="40% - Accent1 3 3 4" xfId="9287" xr:uid="{8C21B573-3D31-49DA-ACD8-D3EC7CC3A858}"/>
    <cellStyle name="40% - Accent1 3 3 5" xfId="10080" xr:uid="{1B228EE1-265D-4E72-9130-B3D668636537}"/>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B0518E35-7982-4DFD-BCEC-326066F7EA75}"/>
    <cellStyle name="40% - Accent1 3 4 2 3" xfId="12638" xr:uid="{9EE32C83-9558-4CB2-9645-6ABB468A1A29}"/>
    <cellStyle name="40% - Accent1 3 4 3" xfId="5384" xr:uid="{00000000-0005-0000-0000-00002E040000}"/>
    <cellStyle name="40% - Accent1 3 4 3 2" xfId="14710" xr:uid="{54A69C01-2F5E-4FC4-945B-E2021743E219}"/>
    <cellStyle name="40% - Accent1 3 4 4" xfId="10493" xr:uid="{7C7A49E8-A817-442B-ADD0-7DB386FBB0B2}"/>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FAFCD40B-A7DC-4783-9B7F-3CAC7695F535}"/>
    <cellStyle name="40% - Accent1 3 5 2 3" xfId="13051" xr:uid="{7DB86CDA-9094-4898-A0EB-0DDF4F3DE118}"/>
    <cellStyle name="40% - Accent1 3 5 3" xfId="5797" xr:uid="{00000000-0005-0000-0000-000032040000}"/>
    <cellStyle name="40% - Accent1 3 5 3 2" xfId="15123" xr:uid="{FF1DAE27-AC0D-4FAE-A39A-776C48BBCD09}"/>
    <cellStyle name="40% - Accent1 3 5 4" xfId="10906" xr:uid="{F777E47C-1A5C-4671-93CD-4C4F859A6C89}"/>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C651AE83-1997-4D32-B205-58A156315D0C}"/>
    <cellStyle name="40% - Accent1 3 6 2 3" xfId="13464" xr:uid="{0D2909E9-AD7E-4557-BE40-8DBFCF986EB2}"/>
    <cellStyle name="40% - Accent1 3 6 3" xfId="6210" xr:uid="{00000000-0005-0000-0000-000036040000}"/>
    <cellStyle name="40% - Accent1 3 6 3 2" xfId="15536" xr:uid="{15061F2F-A832-4A94-9304-A15B08C7E838}"/>
    <cellStyle name="40% - Accent1 3 6 4" xfId="11319" xr:uid="{DE6EB983-BDBD-43B8-A2A5-4A52ABE0BAB0}"/>
    <cellStyle name="40% - Accent1 3 7" xfId="2317" xr:uid="{00000000-0005-0000-0000-000037040000}"/>
    <cellStyle name="40% - Accent1 3 7 2" xfId="6623" xr:uid="{00000000-0005-0000-0000-000038040000}"/>
    <cellStyle name="40% - Accent1 3 7 2 2" xfId="15949" xr:uid="{BEC03A60-C2B0-4CE6-B623-C5328B163DA9}"/>
    <cellStyle name="40% - Accent1 3 7 3" xfId="11732" xr:uid="{6A2B6E1A-699D-4A78-A61D-AB12A9AC52D3}"/>
    <cellStyle name="40% - Accent1 3 8" xfId="4557" xr:uid="{00000000-0005-0000-0000-000039040000}"/>
    <cellStyle name="40% - Accent1 3 8 2" xfId="13883" xr:uid="{AFA66D4B-B6D1-4F39-869E-44E7D1A2E009}"/>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78B7A1CE-571C-41B2-BA22-E4205517BB93}"/>
    <cellStyle name="40% - Accent1 4 2 2 3" xfId="12227" xr:uid="{F9B771FE-1623-4ADE-A024-5EADED5DC603}"/>
    <cellStyle name="40% - Accent1 4 2 3" xfId="4973" xr:uid="{00000000-0005-0000-0000-00003E040000}"/>
    <cellStyle name="40% - Accent1 4 2 3 2" xfId="14299" xr:uid="{524850C7-E308-4C45-8BBE-33CE9932C93E}"/>
    <cellStyle name="40% - Accent1 4 2 4" xfId="9373" xr:uid="{3BC949C7-8F86-44EA-9F10-CF277586B131}"/>
    <cellStyle name="40% - Accent1 4 2 5" xfId="10082" xr:uid="{B1EB752D-9BFD-4E39-A4AA-183E055D3ACD}"/>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197FB029-ACF6-49FA-BFE4-6E0B59537A23}"/>
    <cellStyle name="40% - Accent1 4 3 2 3" xfId="12640" xr:uid="{934C30F7-BB3D-4AD8-BC7E-117E040B9C65}"/>
    <cellStyle name="40% - Accent1 4 3 3" xfId="5386" xr:uid="{00000000-0005-0000-0000-000042040000}"/>
    <cellStyle name="40% - Accent1 4 3 3 2" xfId="14712" xr:uid="{6F4AEBC2-6B95-4AB9-A9B7-839282392205}"/>
    <cellStyle name="40% - Accent1 4 3 4" xfId="10495" xr:uid="{68FD9594-217D-4FBF-9548-5A6D0FC52458}"/>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B13355B2-C3E2-403B-90FB-B63B9BD2E524}"/>
    <cellStyle name="40% - Accent1 4 4 2 3" xfId="13053" xr:uid="{D3C4039B-B759-4DE2-9550-0CC64E64A62F}"/>
    <cellStyle name="40% - Accent1 4 4 3" xfId="5799" xr:uid="{00000000-0005-0000-0000-000046040000}"/>
    <cellStyle name="40% - Accent1 4 4 3 2" xfId="15125" xr:uid="{36749043-02FD-4342-954D-E1C32578628E}"/>
    <cellStyle name="40% - Accent1 4 4 4" xfId="10908" xr:uid="{C6246926-0FF5-4F32-A5DD-76DCEDD5A385}"/>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84406D13-299E-4A64-B81B-CD61C132CBF0}"/>
    <cellStyle name="40% - Accent1 4 5 2 3" xfId="13466" xr:uid="{D7F03D58-FD45-444A-995F-0D5CFF2D4F0B}"/>
    <cellStyle name="40% - Accent1 4 5 3" xfId="6212" xr:uid="{00000000-0005-0000-0000-00004A040000}"/>
    <cellStyle name="40% - Accent1 4 5 3 2" xfId="15538" xr:uid="{823113DB-A084-4901-8F45-43C26EA7952A}"/>
    <cellStyle name="40% - Accent1 4 5 4" xfId="11321" xr:uid="{D17820A5-A42D-4BE2-8B8A-980FF69BD964}"/>
    <cellStyle name="40% - Accent1 4 6" xfId="2319" xr:uid="{00000000-0005-0000-0000-00004B040000}"/>
    <cellStyle name="40% - Accent1 4 6 2" xfId="6625" xr:uid="{00000000-0005-0000-0000-00004C040000}"/>
    <cellStyle name="40% - Accent1 4 6 2 2" xfId="15951" xr:uid="{15959C80-A277-49AA-9A43-69656CE4D7EE}"/>
    <cellStyle name="40% - Accent1 4 6 3" xfId="11734" xr:uid="{2835E22F-2E6F-480D-B80C-A7DBF2DA7366}"/>
    <cellStyle name="40% - Accent1 4 7" xfId="4559" xr:uid="{00000000-0005-0000-0000-00004D040000}"/>
    <cellStyle name="40% - Accent1 4 7 2" xfId="13885" xr:uid="{AB4EC79C-55BB-48BE-8DF1-56CD950D30D0}"/>
    <cellStyle name="40% - Accent1 4 8" xfId="8948" xr:uid="{7BCBB449-71B8-4468-A700-0125C7659C3D}"/>
    <cellStyle name="40% - Accent1 4 9" xfId="9668" xr:uid="{0726B425-8C85-412C-86E5-EFFE24AA2B83}"/>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022EBB9C-4974-4CC8-894C-D9D386A7826D}"/>
    <cellStyle name="40% - Accent1 5 2 3" xfId="12220" xr:uid="{9DBEA56B-F447-4B36-8AB7-CC3283C22D32}"/>
    <cellStyle name="40% - Accent1 5 3" xfId="4966" xr:uid="{00000000-0005-0000-0000-000051040000}"/>
    <cellStyle name="40% - Accent1 5 3 2" xfId="14292" xr:uid="{3E0D09C1-1C3D-496E-8458-4C5F6DF7445B}"/>
    <cellStyle name="40% - Accent1 5 4" xfId="9181" xr:uid="{332DA761-F1AA-4FF3-9BBB-9ECEE19D2DFF}"/>
    <cellStyle name="40% - Accent1 5 5" xfId="10075" xr:uid="{FF6037B0-96D9-42D1-A989-9329A39D4A50}"/>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AA276C81-E026-4126-BE0B-D31034FF9928}"/>
    <cellStyle name="40% - Accent1 6 2 3" xfId="12633" xr:uid="{AC2C5674-3C28-4356-8264-76C1098F3661}"/>
    <cellStyle name="40% - Accent1 6 3" xfId="5379" xr:uid="{00000000-0005-0000-0000-000055040000}"/>
    <cellStyle name="40% - Accent1 6 3 2" xfId="14705" xr:uid="{08012661-0468-452A-B1CC-4E215D175D01}"/>
    <cellStyle name="40% - Accent1 6 4" xfId="10488" xr:uid="{5DD6B3C8-708D-4CA4-9236-5C0D38224C06}"/>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521C7062-FE55-48DA-8C7A-28EB60679BC9}"/>
    <cellStyle name="40% - Accent1 7 2 3" xfId="13046" xr:uid="{FFBAE273-DD8B-43A0-8FA3-A118BC787B7E}"/>
    <cellStyle name="40% - Accent1 7 3" xfId="5792" xr:uid="{00000000-0005-0000-0000-000059040000}"/>
    <cellStyle name="40% - Accent1 7 3 2" xfId="15118" xr:uid="{5269A377-2580-4E26-A806-535928282932}"/>
    <cellStyle name="40% - Accent1 7 4" xfId="10901" xr:uid="{980929A0-A912-4AC2-95F8-50C91C09AE98}"/>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DC3E4940-C8C6-4E75-9731-F0833DF99FB6}"/>
    <cellStyle name="40% - Accent1 8 2 3" xfId="13459" xr:uid="{BB05D30C-2279-4172-8785-D449A42CECA3}"/>
    <cellStyle name="40% - Accent1 8 3" xfId="6205" xr:uid="{00000000-0005-0000-0000-00005D040000}"/>
    <cellStyle name="40% - Accent1 8 3 2" xfId="15531" xr:uid="{CEFF4AD2-1DB5-4625-B750-8F4FFC05E1D6}"/>
    <cellStyle name="40% - Accent1 8 4" xfId="11314" xr:uid="{516BCDAC-104A-4D8A-81E9-0BCF7B2FA8FC}"/>
    <cellStyle name="40% - Accent1 9" xfId="2312" xr:uid="{00000000-0005-0000-0000-00005E040000}"/>
    <cellStyle name="40% - Accent1 9 2" xfId="6618" xr:uid="{00000000-0005-0000-0000-00005F040000}"/>
    <cellStyle name="40% - Accent1 9 2 2" xfId="15944" xr:uid="{0FC1149C-1018-448C-A2FD-9DC30812BDBD}"/>
    <cellStyle name="40% - Accent1 9 3" xfId="11727" xr:uid="{8D444D57-52AF-4C0C-91DF-80DBBB480662}"/>
    <cellStyle name="40% - Accent2" xfId="57" builtinId="35" customBuiltin="1"/>
    <cellStyle name="40% - Accent2 10" xfId="4560" xr:uid="{00000000-0005-0000-0000-000061040000}"/>
    <cellStyle name="40% - Accent2 10 2" xfId="13886" xr:uid="{43E967F6-ABB7-4E9F-8AD5-6C40F167B737}"/>
    <cellStyle name="40% - Accent2 11" xfId="8761" xr:uid="{8631D9D1-53DA-4958-8F7C-AD68B7B91D61}"/>
    <cellStyle name="40% - Accent2 12" xfId="9669" xr:uid="{8C043E0E-C667-43A7-A29A-BD6F1E9D0532}"/>
    <cellStyle name="40% - Accent2 2" xfId="58" xr:uid="{00000000-0005-0000-0000-000062040000}"/>
    <cellStyle name="40% - Accent2 2 10" xfId="8799" xr:uid="{E3EEC046-6E76-44A5-8D1B-64621A8F0AC5}"/>
    <cellStyle name="40% - Accent2 2 11" xfId="9670" xr:uid="{BCCCD4B8-2935-4285-9A83-C222E797B0D2}"/>
    <cellStyle name="40% - Accent2 2 2" xfId="59" xr:uid="{00000000-0005-0000-0000-000063040000}"/>
    <cellStyle name="40% - Accent2 2 2 10" xfId="9671" xr:uid="{F9264B70-1E67-4155-93CB-98A85FA38F54}"/>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05C9FBCB-A4BA-420B-A6EF-016E9FC3B51F}"/>
    <cellStyle name="40% - Accent2 2 2 2 2 2 3" xfId="12231" xr:uid="{BC0968F8-F79E-4DB0-9CD9-D0C00F4C07AB}"/>
    <cellStyle name="40% - Accent2 2 2 2 2 3" xfId="4977" xr:uid="{00000000-0005-0000-0000-000068040000}"/>
    <cellStyle name="40% - Accent2 2 2 2 2 3 2" xfId="14303" xr:uid="{A4744568-155D-439D-AB5C-C1676D948C22}"/>
    <cellStyle name="40% - Accent2 2 2 2 2 4" xfId="9534" xr:uid="{9F53A086-33FC-422E-9DFF-72D04AC43949}"/>
    <cellStyle name="40% - Accent2 2 2 2 2 5" xfId="10086" xr:uid="{A0AA03F1-0337-4B38-9B21-66F42D4E9A32}"/>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17069F51-61D0-4D87-AC2B-5FEEBE29B90C}"/>
    <cellStyle name="40% - Accent2 2 2 2 3 2 3" xfId="12644" xr:uid="{10D332D0-6542-490E-976F-3F756F3CBB41}"/>
    <cellStyle name="40% - Accent2 2 2 2 3 3" xfId="5390" xr:uid="{00000000-0005-0000-0000-00006C040000}"/>
    <cellStyle name="40% - Accent2 2 2 2 3 3 2" xfId="14716" xr:uid="{72E860C4-287F-4BAF-85DF-D93F229BFE7F}"/>
    <cellStyle name="40% - Accent2 2 2 2 3 4" xfId="10499" xr:uid="{B6D1D748-B5E5-459E-A223-5AD801F2801B}"/>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31677E1B-C77C-4006-8797-727A9B77BEB5}"/>
    <cellStyle name="40% - Accent2 2 2 2 4 2 3" xfId="13057" xr:uid="{1DA3F71D-B045-4577-B858-508D20055BFB}"/>
    <cellStyle name="40% - Accent2 2 2 2 4 3" xfId="5803" xr:uid="{00000000-0005-0000-0000-000070040000}"/>
    <cellStyle name="40% - Accent2 2 2 2 4 3 2" xfId="15129" xr:uid="{8406EF92-2E27-4D08-BBC7-66C424AB9C39}"/>
    <cellStyle name="40% - Accent2 2 2 2 4 4" xfId="10912" xr:uid="{17877FBE-204B-4AB3-86B4-0E934A753F83}"/>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D972DE05-174E-4210-9780-C0D656B00221}"/>
    <cellStyle name="40% - Accent2 2 2 2 5 2 3" xfId="13470" xr:uid="{AC07D2BA-2E5F-4E34-A689-05DEA13A2A74}"/>
    <cellStyle name="40% - Accent2 2 2 2 5 3" xfId="6216" xr:uid="{00000000-0005-0000-0000-000074040000}"/>
    <cellStyle name="40% - Accent2 2 2 2 5 3 2" xfId="15542" xr:uid="{0138C7F3-30A5-40CE-BD49-08EB5FAAC518}"/>
    <cellStyle name="40% - Accent2 2 2 2 5 4" xfId="11325" xr:uid="{2B136D60-140A-4594-8CA2-E67843C147D1}"/>
    <cellStyle name="40% - Accent2 2 2 2 6" xfId="2323" xr:uid="{00000000-0005-0000-0000-000075040000}"/>
    <cellStyle name="40% - Accent2 2 2 2 6 2" xfId="6629" xr:uid="{00000000-0005-0000-0000-000076040000}"/>
    <cellStyle name="40% - Accent2 2 2 2 6 2 2" xfId="15955" xr:uid="{9B800561-994F-43E3-8C6F-86147B5089B9}"/>
    <cellStyle name="40% - Accent2 2 2 2 6 3" xfId="11738" xr:uid="{6BCD819B-C94B-40A6-A914-1C5527FFF3C6}"/>
    <cellStyle name="40% - Accent2 2 2 2 7" xfId="4563" xr:uid="{00000000-0005-0000-0000-000077040000}"/>
    <cellStyle name="40% - Accent2 2 2 2 7 2" xfId="13889" xr:uid="{139E199B-97B1-4678-9DF6-B36FF4FF1518}"/>
    <cellStyle name="40% - Accent2 2 2 2 8" xfId="9109" xr:uid="{73F0012D-4386-4224-BFB0-7DB1C0E98822}"/>
    <cellStyle name="40% - Accent2 2 2 2 9" xfId="9672" xr:uid="{30933427-0D9E-4853-AFCF-2A59340CC17C}"/>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BB086873-4340-4BAD-9D58-69D897E0FD89}"/>
    <cellStyle name="40% - Accent2 2 2 3 2 3" xfId="12230" xr:uid="{AC440862-F09F-4919-AF7F-BCE04000409D}"/>
    <cellStyle name="40% - Accent2 2 2 3 3" xfId="4976" xr:uid="{00000000-0005-0000-0000-00007B040000}"/>
    <cellStyle name="40% - Accent2 2 2 3 3 2" xfId="14302" xr:uid="{A873A3E9-B4DC-4D3B-97A4-7E6957E134C0}"/>
    <cellStyle name="40% - Accent2 2 2 3 4" xfId="9327" xr:uid="{F2BC9A12-B689-4B73-B71E-77A9F0BC7FE4}"/>
    <cellStyle name="40% - Accent2 2 2 3 5" xfId="10085" xr:uid="{6EA121DA-1E97-4D24-8E10-BE74C9814308}"/>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99616516-3C84-402B-9FEC-12703354B8FD}"/>
    <cellStyle name="40% - Accent2 2 2 4 2 3" xfId="12643" xr:uid="{4C66B1F6-4EA7-4023-88CC-1F62E688B2A1}"/>
    <cellStyle name="40% - Accent2 2 2 4 3" xfId="5389" xr:uid="{00000000-0005-0000-0000-00007F040000}"/>
    <cellStyle name="40% - Accent2 2 2 4 3 2" xfId="14715" xr:uid="{93261A9F-148F-4961-AA32-0C98A58E2AEE}"/>
    <cellStyle name="40% - Accent2 2 2 4 4" xfId="10498" xr:uid="{DB9D812E-F7E3-4EE8-8B72-95769F81F50C}"/>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225ED842-9731-446F-9FB1-2AC2D2617D8A}"/>
    <cellStyle name="40% - Accent2 2 2 5 2 3" xfId="13056" xr:uid="{FF092B77-93CC-4400-BB77-09270970C2E4}"/>
    <cellStyle name="40% - Accent2 2 2 5 3" xfId="5802" xr:uid="{00000000-0005-0000-0000-000083040000}"/>
    <cellStyle name="40% - Accent2 2 2 5 3 2" xfId="15128" xr:uid="{D8356405-48B0-4A0F-A946-04DE88D5C52D}"/>
    <cellStyle name="40% - Accent2 2 2 5 4" xfId="10911" xr:uid="{5679D8F5-A36A-4C13-B671-765FF4A0E0DB}"/>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EFC40BF0-AFBF-4802-8E77-AB508CC91FA4}"/>
    <cellStyle name="40% - Accent2 2 2 6 2 3" xfId="13469" xr:uid="{246B2A9C-5D6D-47DC-8297-DC6E34BEE63D}"/>
    <cellStyle name="40% - Accent2 2 2 6 3" xfId="6215" xr:uid="{00000000-0005-0000-0000-000087040000}"/>
    <cellStyle name="40% - Accent2 2 2 6 3 2" xfId="15541" xr:uid="{016884AA-0B73-41E9-A668-8BB40485B95C}"/>
    <cellStyle name="40% - Accent2 2 2 6 4" xfId="11324" xr:uid="{AA310F67-0593-4884-A849-5C558C242BE4}"/>
    <cellStyle name="40% - Accent2 2 2 7" xfId="2322" xr:uid="{00000000-0005-0000-0000-000088040000}"/>
    <cellStyle name="40% - Accent2 2 2 7 2" xfId="6628" xr:uid="{00000000-0005-0000-0000-000089040000}"/>
    <cellStyle name="40% - Accent2 2 2 7 2 2" xfId="15954" xr:uid="{1E662F53-1EFC-43E8-A7A3-AF9A064E8D73}"/>
    <cellStyle name="40% - Accent2 2 2 7 3" xfId="11737" xr:uid="{AA8D8470-CBBA-435D-A446-4777C8B28939}"/>
    <cellStyle name="40% - Accent2 2 2 8" xfId="4562" xr:uid="{00000000-0005-0000-0000-00008A040000}"/>
    <cellStyle name="40% - Accent2 2 2 8 2" xfId="13888" xr:uid="{C937D1A3-8B3E-4453-90F0-569F0351A35A}"/>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D2ECD7AD-196B-4E69-8D72-A43A8EA0D2A3}"/>
    <cellStyle name="40% - Accent2 2 3 2 2 3" xfId="12232" xr:uid="{CCD24F4B-B8A6-4D87-81F5-8CEE457BA1FF}"/>
    <cellStyle name="40% - Accent2 2 3 2 3" xfId="4978" xr:uid="{00000000-0005-0000-0000-00008F040000}"/>
    <cellStyle name="40% - Accent2 2 3 2 3 2" xfId="14304" xr:uid="{0B2A946E-6776-4D2E-93BA-FC7FE22FFF84}"/>
    <cellStyle name="40% - Accent2 2 3 2 4" xfId="9431" xr:uid="{BD4E3561-302E-4359-AAF3-4F2E007BC697}"/>
    <cellStyle name="40% - Accent2 2 3 2 5" xfId="10087" xr:uid="{5D665B83-4192-44B6-B569-7E72D898D77C}"/>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B1845DD7-CA49-4B7F-8F41-32E05B44006A}"/>
    <cellStyle name="40% - Accent2 2 3 3 2 3" xfId="12645" xr:uid="{831E94CA-74BD-4E6B-9244-F4DB1B02B0CC}"/>
    <cellStyle name="40% - Accent2 2 3 3 3" xfId="5391" xr:uid="{00000000-0005-0000-0000-000093040000}"/>
    <cellStyle name="40% - Accent2 2 3 3 3 2" xfId="14717" xr:uid="{460BC73F-8A2D-4683-8F6A-0464DDDD1D36}"/>
    <cellStyle name="40% - Accent2 2 3 3 4" xfId="10500" xr:uid="{EADBD324-5813-4D13-B642-04FE75DA7026}"/>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7A93057D-E723-464E-8D9B-A1BCEB5C6CD6}"/>
    <cellStyle name="40% - Accent2 2 3 4 2 3" xfId="13058" xr:uid="{9867A881-18B2-465F-9DFF-BB858F5BDF83}"/>
    <cellStyle name="40% - Accent2 2 3 4 3" xfId="5804" xr:uid="{00000000-0005-0000-0000-000097040000}"/>
    <cellStyle name="40% - Accent2 2 3 4 3 2" xfId="15130" xr:uid="{4B066B59-620B-430B-B384-40D2F0C30010}"/>
    <cellStyle name="40% - Accent2 2 3 4 4" xfId="10913" xr:uid="{0BDBDE4F-8440-48A8-90D9-B48FBC16D149}"/>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4530B4B8-B262-430B-8C83-953BF96CD489}"/>
    <cellStyle name="40% - Accent2 2 3 5 2 3" xfId="13471" xr:uid="{87ED1E0E-1924-46A5-8768-9E65D094B4E7}"/>
    <cellStyle name="40% - Accent2 2 3 5 3" xfId="6217" xr:uid="{00000000-0005-0000-0000-00009B040000}"/>
    <cellStyle name="40% - Accent2 2 3 5 3 2" xfId="15543" xr:uid="{B7DFB08A-4E17-4B16-A609-19CB04026A13}"/>
    <cellStyle name="40% - Accent2 2 3 5 4" xfId="11326" xr:uid="{AC34DE43-96D3-4F00-8714-9FF258A856CC}"/>
    <cellStyle name="40% - Accent2 2 3 6" xfId="2324" xr:uid="{00000000-0005-0000-0000-00009C040000}"/>
    <cellStyle name="40% - Accent2 2 3 6 2" xfId="6630" xr:uid="{00000000-0005-0000-0000-00009D040000}"/>
    <cellStyle name="40% - Accent2 2 3 6 2 2" xfId="15956" xr:uid="{B7D56FFA-D16D-474B-9554-2325E24F38B9}"/>
    <cellStyle name="40% - Accent2 2 3 6 3" xfId="11739" xr:uid="{3644574A-05F2-4749-81A1-B3CFE24F6805}"/>
    <cellStyle name="40% - Accent2 2 3 7" xfId="4564" xr:uid="{00000000-0005-0000-0000-00009E040000}"/>
    <cellStyle name="40% - Accent2 2 3 7 2" xfId="13890" xr:uid="{7829A979-AEB3-4C4B-A7CF-2C0AB16A0AEF}"/>
    <cellStyle name="40% - Accent2 2 3 8" xfId="9006" xr:uid="{E6E89EA5-B76F-4FCC-89B9-DD4135B6364B}"/>
    <cellStyle name="40% - Accent2 2 3 9" xfId="9673" xr:uid="{9ACE5ADB-B8E6-426C-8670-2056560EC260}"/>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3CD8A337-9829-4A10-9C19-6BAFD6A01411}"/>
    <cellStyle name="40% - Accent2 2 4 2 3" xfId="12229" xr:uid="{591A4C52-166D-41E7-B37C-1A8233142516}"/>
    <cellStyle name="40% - Accent2 2 4 3" xfId="4975" xr:uid="{00000000-0005-0000-0000-0000A2040000}"/>
    <cellStyle name="40% - Accent2 2 4 3 2" xfId="14301" xr:uid="{F5B89F1A-57C2-4A4B-8D6C-ED4D828DE12F}"/>
    <cellStyle name="40% - Accent2 2 4 4" xfId="9223" xr:uid="{FA9890B4-781A-4E4C-81EE-BC7448559828}"/>
    <cellStyle name="40% - Accent2 2 4 5" xfId="10084" xr:uid="{1504A270-780F-496F-93E5-62AF3488D17E}"/>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2E2C3569-FEE0-40EE-9CBC-FFC51B10A323}"/>
    <cellStyle name="40% - Accent2 2 5 2 3" xfId="12642" xr:uid="{E5D4C792-DA2E-4CB1-9623-33CB4CC9F171}"/>
    <cellStyle name="40% - Accent2 2 5 3" xfId="5388" xr:uid="{00000000-0005-0000-0000-0000A6040000}"/>
    <cellStyle name="40% - Accent2 2 5 3 2" xfId="14714" xr:uid="{FA636370-1C4C-40BE-B490-FA4501FCB5A6}"/>
    <cellStyle name="40% - Accent2 2 5 4" xfId="10497" xr:uid="{AA94CB21-DD07-4804-9534-21A9BA7CE7D4}"/>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B6610A08-0138-47E3-83EC-173E73B02F17}"/>
    <cellStyle name="40% - Accent2 2 6 2 3" xfId="13055" xr:uid="{627DFFC6-9FED-4F60-AB7E-5502076667F4}"/>
    <cellStyle name="40% - Accent2 2 6 3" xfId="5801" xr:uid="{00000000-0005-0000-0000-0000AA040000}"/>
    <cellStyle name="40% - Accent2 2 6 3 2" xfId="15127" xr:uid="{4A870D3B-6BBE-47F7-94CE-0E84C818F92D}"/>
    <cellStyle name="40% - Accent2 2 6 4" xfId="10910" xr:uid="{68A89222-A67F-4B06-9BAF-546E340AC636}"/>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D2B57630-60EC-4DA5-A72E-1B0CB200373E}"/>
    <cellStyle name="40% - Accent2 2 7 2 3" xfId="13468" xr:uid="{01CB5D2C-CEB9-434D-8B67-9EE8B73CEDC2}"/>
    <cellStyle name="40% - Accent2 2 7 3" xfId="6214" xr:uid="{00000000-0005-0000-0000-0000AE040000}"/>
    <cellStyle name="40% - Accent2 2 7 3 2" xfId="15540" xr:uid="{EBC6CF60-1699-4FAF-814A-63F2A3C88458}"/>
    <cellStyle name="40% - Accent2 2 7 4" xfId="11323" xr:uid="{ADB1C9EC-D00F-4A7C-8E5E-FEB4304E1411}"/>
    <cellStyle name="40% - Accent2 2 8" xfId="2321" xr:uid="{00000000-0005-0000-0000-0000AF040000}"/>
    <cellStyle name="40% - Accent2 2 8 2" xfId="6627" xr:uid="{00000000-0005-0000-0000-0000B0040000}"/>
    <cellStyle name="40% - Accent2 2 8 2 2" xfId="15953" xr:uid="{BA7C94F8-1B53-4DF1-A182-3AF9729E0E44}"/>
    <cellStyle name="40% - Accent2 2 8 3" xfId="11736" xr:uid="{63599942-14E4-483D-A19D-B5AFC4664781}"/>
    <cellStyle name="40% - Accent2 2 9" xfId="4561" xr:uid="{00000000-0005-0000-0000-0000B1040000}"/>
    <cellStyle name="40% - Accent2 2 9 2" xfId="13887" xr:uid="{67BB4C88-1633-4E78-A03D-D635C5FBB34F}"/>
    <cellStyle name="40% - Accent2 3" xfId="62" xr:uid="{00000000-0005-0000-0000-0000B2040000}"/>
    <cellStyle name="40% - Accent2 3 10" xfId="9674" xr:uid="{39938256-B609-421A-8389-6337E8EE22E2}"/>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23465569-C3EA-4851-879E-CAAB00B8F7F3}"/>
    <cellStyle name="40% - Accent2 3 2 2 2 3" xfId="12234" xr:uid="{52BD5C9E-3E20-47AF-8991-FEB9DF06A2D5}"/>
    <cellStyle name="40% - Accent2 3 2 2 3" xfId="4980" xr:uid="{00000000-0005-0000-0000-0000B7040000}"/>
    <cellStyle name="40% - Accent2 3 2 2 3 2" xfId="14306" xr:uid="{0DBEA885-625B-4697-B3AC-0685E284EB6D}"/>
    <cellStyle name="40% - Accent2 3 2 2 4" xfId="9496" xr:uid="{700FA1AF-D943-4FDB-BFB1-F903AD1F731A}"/>
    <cellStyle name="40% - Accent2 3 2 2 5" xfId="10089" xr:uid="{D2E0D96E-436F-4FB7-B880-34707BC5876B}"/>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93CC218D-E7FD-47D6-959E-1FE9AF83B8C0}"/>
    <cellStyle name="40% - Accent2 3 2 3 2 3" xfId="12647" xr:uid="{B40B55B4-A440-4C36-BB30-6689B5C8CA1E}"/>
    <cellStyle name="40% - Accent2 3 2 3 3" xfId="5393" xr:uid="{00000000-0005-0000-0000-0000BB040000}"/>
    <cellStyle name="40% - Accent2 3 2 3 3 2" xfId="14719" xr:uid="{6DF12698-A9D7-4F15-AC23-EC6EC9B5B8DF}"/>
    <cellStyle name="40% - Accent2 3 2 3 4" xfId="10502" xr:uid="{1F86064F-2071-43C6-B8C0-31FD4522B768}"/>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BB7B04CA-23C0-4A92-AAB7-EC60B2229FB1}"/>
    <cellStyle name="40% - Accent2 3 2 4 2 3" xfId="13060" xr:uid="{EEE5AC11-B068-4D46-A582-A9623BB6BB5D}"/>
    <cellStyle name="40% - Accent2 3 2 4 3" xfId="5806" xr:uid="{00000000-0005-0000-0000-0000BF040000}"/>
    <cellStyle name="40% - Accent2 3 2 4 3 2" xfId="15132" xr:uid="{85843C7C-85A1-4741-B8B1-A673772AC56A}"/>
    <cellStyle name="40% - Accent2 3 2 4 4" xfId="10915" xr:uid="{256AC382-E43B-41B2-ADD2-96EE9FB74598}"/>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79C89B87-00B3-476B-9ABF-4D81D5A2F0D6}"/>
    <cellStyle name="40% - Accent2 3 2 5 2 3" xfId="13473" xr:uid="{69345FFE-721E-4E6D-8450-3D6BD0B48D57}"/>
    <cellStyle name="40% - Accent2 3 2 5 3" xfId="6219" xr:uid="{00000000-0005-0000-0000-0000C3040000}"/>
    <cellStyle name="40% - Accent2 3 2 5 3 2" xfId="15545" xr:uid="{4FA6FD21-F406-443B-BC19-261C939F3095}"/>
    <cellStyle name="40% - Accent2 3 2 5 4" xfId="11328" xr:uid="{13A220FE-3173-4BB3-A362-8304B4600CB8}"/>
    <cellStyle name="40% - Accent2 3 2 6" xfId="2326" xr:uid="{00000000-0005-0000-0000-0000C4040000}"/>
    <cellStyle name="40% - Accent2 3 2 6 2" xfId="6632" xr:uid="{00000000-0005-0000-0000-0000C5040000}"/>
    <cellStyle name="40% - Accent2 3 2 6 2 2" xfId="15958" xr:uid="{6CDD61E3-FDD0-4084-811B-D46D8F606AFF}"/>
    <cellStyle name="40% - Accent2 3 2 6 3" xfId="11741" xr:uid="{17E572AF-A0D3-4812-A5B2-CA605CAD7F42}"/>
    <cellStyle name="40% - Accent2 3 2 7" xfId="4566" xr:uid="{00000000-0005-0000-0000-0000C6040000}"/>
    <cellStyle name="40% - Accent2 3 2 7 2" xfId="13892" xr:uid="{6B8171E3-C202-4161-8BA1-5366E792001D}"/>
    <cellStyle name="40% - Accent2 3 2 8" xfId="9071" xr:uid="{B5463F05-11FC-4377-B380-DDB549C63AA9}"/>
    <cellStyle name="40% - Accent2 3 2 9" xfId="9675" xr:uid="{646D66A5-14DE-4631-91C2-CFE29A1ADFCD}"/>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DB809164-5918-4071-8006-CC18E0338557}"/>
    <cellStyle name="40% - Accent2 3 3 2 3" xfId="12233" xr:uid="{A88389A4-9C7D-4E97-B36D-7B88C7CBD982}"/>
    <cellStyle name="40% - Accent2 3 3 3" xfId="4979" xr:uid="{00000000-0005-0000-0000-0000CA040000}"/>
    <cellStyle name="40% - Accent2 3 3 3 2" xfId="14305" xr:uid="{0014444A-1469-457C-8F63-028F2F176368}"/>
    <cellStyle name="40% - Accent2 3 3 4" xfId="9289" xr:uid="{B234EB9F-4AFE-41A2-A17D-ABC1D0F80875}"/>
    <cellStyle name="40% - Accent2 3 3 5" xfId="10088" xr:uid="{EFDCE38B-3DC6-4769-A152-3F29281A5AE8}"/>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127AB7B0-4E66-4908-BB47-9031B9A103D3}"/>
    <cellStyle name="40% - Accent2 3 4 2 3" xfId="12646" xr:uid="{08C6DDB6-65AD-4AD7-8B03-397A0A8ABDF3}"/>
    <cellStyle name="40% - Accent2 3 4 3" xfId="5392" xr:uid="{00000000-0005-0000-0000-0000CE040000}"/>
    <cellStyle name="40% - Accent2 3 4 3 2" xfId="14718" xr:uid="{FE688200-6E58-45FA-8419-7CB40B710025}"/>
    <cellStyle name="40% - Accent2 3 4 4" xfId="10501" xr:uid="{1713C9B9-2490-4521-9EB4-549439CF556E}"/>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D01FDBA2-D463-4145-80B8-C019DDB9ABA9}"/>
    <cellStyle name="40% - Accent2 3 5 2 3" xfId="13059" xr:uid="{14126ECC-5634-4EBF-98A2-283BA3028C6B}"/>
    <cellStyle name="40% - Accent2 3 5 3" xfId="5805" xr:uid="{00000000-0005-0000-0000-0000D2040000}"/>
    <cellStyle name="40% - Accent2 3 5 3 2" xfId="15131" xr:uid="{3AFE08B6-41D6-490D-8ACF-96BF0B8B5F65}"/>
    <cellStyle name="40% - Accent2 3 5 4" xfId="10914" xr:uid="{0B226C18-655E-40B1-B3E6-67B9500856DA}"/>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58DD5DF1-ADF2-4411-9743-B3F0216B77DF}"/>
    <cellStyle name="40% - Accent2 3 6 2 3" xfId="13472" xr:uid="{0EFAADD2-7FFD-4400-BE7C-301B0BBCA991}"/>
    <cellStyle name="40% - Accent2 3 6 3" xfId="6218" xr:uid="{00000000-0005-0000-0000-0000D6040000}"/>
    <cellStyle name="40% - Accent2 3 6 3 2" xfId="15544" xr:uid="{C10E3295-4601-49AC-B044-F2DAFCC5DFEE}"/>
    <cellStyle name="40% - Accent2 3 6 4" xfId="11327" xr:uid="{3894990A-F3BC-433C-B006-CC37BB1CB10A}"/>
    <cellStyle name="40% - Accent2 3 7" xfId="2325" xr:uid="{00000000-0005-0000-0000-0000D7040000}"/>
    <cellStyle name="40% - Accent2 3 7 2" xfId="6631" xr:uid="{00000000-0005-0000-0000-0000D8040000}"/>
    <cellStyle name="40% - Accent2 3 7 2 2" xfId="15957" xr:uid="{F966D32F-5E79-4559-9938-FBA62436875E}"/>
    <cellStyle name="40% - Accent2 3 7 3" xfId="11740" xr:uid="{E793D9F0-1E83-4211-8996-06C0EA3ACC21}"/>
    <cellStyle name="40% - Accent2 3 8" xfId="4565" xr:uid="{00000000-0005-0000-0000-0000D9040000}"/>
    <cellStyle name="40% - Accent2 3 8 2" xfId="13891" xr:uid="{AE7C909F-59E2-41AA-8F3A-DB8E74ECBDFD}"/>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F4B919A1-5DE8-471D-98D5-9BED5AAEB708}"/>
    <cellStyle name="40% - Accent2 4 2 2 3" xfId="12235" xr:uid="{C3829814-9709-4940-A598-698933E25BE2}"/>
    <cellStyle name="40% - Accent2 4 2 3" xfId="4981" xr:uid="{00000000-0005-0000-0000-0000DE040000}"/>
    <cellStyle name="40% - Accent2 4 2 3 2" xfId="14307" xr:uid="{F4CCD534-CDF7-4540-8A10-9C4E9D4FB3DE}"/>
    <cellStyle name="40% - Accent2 4 2 4" xfId="9375" xr:uid="{E0F8B4F7-419E-40A5-89E1-F3F0DF6ADFF8}"/>
    <cellStyle name="40% - Accent2 4 2 5" xfId="10090" xr:uid="{DF272D7A-545F-4948-867D-40C737413562}"/>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0CE80F7C-2C7E-4DAB-952E-365AF509DDFD}"/>
    <cellStyle name="40% - Accent2 4 3 2 3" xfId="12648" xr:uid="{4B5A128F-9CAD-466B-A061-286456A97D81}"/>
    <cellStyle name="40% - Accent2 4 3 3" xfId="5394" xr:uid="{00000000-0005-0000-0000-0000E2040000}"/>
    <cellStyle name="40% - Accent2 4 3 3 2" xfId="14720" xr:uid="{09454B7D-3C99-4585-9C50-AFDA8EB30742}"/>
    <cellStyle name="40% - Accent2 4 3 4" xfId="10503" xr:uid="{DD1D534C-0134-4F91-A51C-B2273F749AB0}"/>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060DAED0-F32A-4EA4-9A83-863BC8FAD951}"/>
    <cellStyle name="40% - Accent2 4 4 2 3" xfId="13061" xr:uid="{F8CC6705-A2F4-48A2-8499-9B77F01ABC1F}"/>
    <cellStyle name="40% - Accent2 4 4 3" xfId="5807" xr:uid="{00000000-0005-0000-0000-0000E6040000}"/>
    <cellStyle name="40% - Accent2 4 4 3 2" xfId="15133" xr:uid="{479F0E78-2B0F-4FE4-B61D-C95DCAE81258}"/>
    <cellStyle name="40% - Accent2 4 4 4" xfId="10916" xr:uid="{855B3714-F3D7-4F69-96A8-70071B3B4AF9}"/>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C34636A5-3FD5-4197-B559-CCF4B465F9B2}"/>
    <cellStyle name="40% - Accent2 4 5 2 3" xfId="13474" xr:uid="{9A4350C5-EDE4-4D90-A9B7-94039C419163}"/>
    <cellStyle name="40% - Accent2 4 5 3" xfId="6220" xr:uid="{00000000-0005-0000-0000-0000EA040000}"/>
    <cellStyle name="40% - Accent2 4 5 3 2" xfId="15546" xr:uid="{16FB2AB7-8537-4CC5-8D35-AA5852BF6578}"/>
    <cellStyle name="40% - Accent2 4 5 4" xfId="11329" xr:uid="{E9C27D8A-62AA-4AB9-B4E1-3CF94457ECE3}"/>
    <cellStyle name="40% - Accent2 4 6" xfId="2327" xr:uid="{00000000-0005-0000-0000-0000EB040000}"/>
    <cellStyle name="40% - Accent2 4 6 2" xfId="6633" xr:uid="{00000000-0005-0000-0000-0000EC040000}"/>
    <cellStyle name="40% - Accent2 4 6 2 2" xfId="15959" xr:uid="{A8A76AC9-1982-400E-B4CF-62A1AD34E438}"/>
    <cellStyle name="40% - Accent2 4 6 3" xfId="11742" xr:uid="{27E81280-6D58-4CDE-B816-ABDC2845AE4E}"/>
    <cellStyle name="40% - Accent2 4 7" xfId="4567" xr:uid="{00000000-0005-0000-0000-0000ED040000}"/>
    <cellStyle name="40% - Accent2 4 7 2" xfId="13893" xr:uid="{54B1ADD5-8D19-4AEB-9DB5-0098065C1AB0}"/>
    <cellStyle name="40% - Accent2 4 8" xfId="8950" xr:uid="{02FCA414-0598-4779-8636-7B176A3552C0}"/>
    <cellStyle name="40% - Accent2 4 9" xfId="9676" xr:uid="{767F8C92-1FB8-4FD4-9D12-D5BD455FBC58}"/>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A4FC3571-2C47-4FB8-9629-E9EAE5049894}"/>
    <cellStyle name="40% - Accent2 5 2 3" xfId="12228" xr:uid="{88167FE4-F772-431B-A3E8-ACF935488057}"/>
    <cellStyle name="40% - Accent2 5 3" xfId="4974" xr:uid="{00000000-0005-0000-0000-0000F1040000}"/>
    <cellStyle name="40% - Accent2 5 3 2" xfId="14300" xr:uid="{0EAD3975-0F3E-469E-9274-8C028540A12A}"/>
    <cellStyle name="40% - Accent2 5 4" xfId="9183" xr:uid="{071EDB8E-9FD1-4063-BCEF-70B734E5ECF1}"/>
    <cellStyle name="40% - Accent2 5 5" xfId="10083" xr:uid="{21A99808-5DCC-43DB-BB79-F0FFF2F127B9}"/>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FB6B48C3-69BE-426C-9DAC-861A6EA85B45}"/>
    <cellStyle name="40% - Accent2 6 2 3" xfId="12641" xr:uid="{078E4A7E-F50C-431D-AF1C-D063E2F65548}"/>
    <cellStyle name="40% - Accent2 6 3" xfId="5387" xr:uid="{00000000-0005-0000-0000-0000F5040000}"/>
    <cellStyle name="40% - Accent2 6 3 2" xfId="14713" xr:uid="{1EC34FD1-89E6-40BD-9AF2-53540A756636}"/>
    <cellStyle name="40% - Accent2 6 4" xfId="10496" xr:uid="{90540995-E499-4C6C-AE0B-4661478D368F}"/>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6CC6E8BB-3B44-400D-936F-F67BE687F356}"/>
    <cellStyle name="40% - Accent2 7 2 3" xfId="13054" xr:uid="{98ED8A7A-CB10-4BCB-864A-3B8D49EAC6B3}"/>
    <cellStyle name="40% - Accent2 7 3" xfId="5800" xr:uid="{00000000-0005-0000-0000-0000F9040000}"/>
    <cellStyle name="40% - Accent2 7 3 2" xfId="15126" xr:uid="{0FA5B533-2441-4989-88E8-AECC83401309}"/>
    <cellStyle name="40% - Accent2 7 4" xfId="10909" xr:uid="{5FBD2936-C72E-4D59-8FA2-EAFCF389E815}"/>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B593995F-5EFD-4D8C-B310-59AD3ED8CE23}"/>
    <cellStyle name="40% - Accent2 8 2 3" xfId="13467" xr:uid="{202C02F6-3240-4D5B-8FFD-648699DAC135}"/>
    <cellStyle name="40% - Accent2 8 3" xfId="6213" xr:uid="{00000000-0005-0000-0000-0000FD040000}"/>
    <cellStyle name="40% - Accent2 8 3 2" xfId="15539" xr:uid="{ADD7FD10-20DC-4A6E-BF34-995E0B2664C4}"/>
    <cellStyle name="40% - Accent2 8 4" xfId="11322" xr:uid="{037104D8-06DD-4A91-9CF3-7A26362FE88C}"/>
    <cellStyle name="40% - Accent2 9" xfId="2320" xr:uid="{00000000-0005-0000-0000-0000FE040000}"/>
    <cellStyle name="40% - Accent2 9 2" xfId="6626" xr:uid="{00000000-0005-0000-0000-0000FF040000}"/>
    <cellStyle name="40% - Accent2 9 2 2" xfId="15952" xr:uid="{30675286-0A0D-4823-9EE6-96567A07901E}"/>
    <cellStyle name="40% - Accent2 9 3" xfId="11735" xr:uid="{8E656770-2FA7-49B4-888B-C8F459E1F101}"/>
    <cellStyle name="40% - Accent3" xfId="65" builtinId="39" customBuiltin="1"/>
    <cellStyle name="40% - Accent3 10" xfId="4568" xr:uid="{00000000-0005-0000-0000-000001050000}"/>
    <cellStyle name="40% - Accent3 10 2" xfId="13894" xr:uid="{5124F949-CEDA-4A06-86F8-B917ACBF4D84}"/>
    <cellStyle name="40% - Accent3 11" xfId="8763" xr:uid="{CEFBFA85-5B68-4AEB-BF0D-8E604938B05F}"/>
    <cellStyle name="40% - Accent3 12" xfId="9677" xr:uid="{D175E5FE-8F08-4ABB-B449-AD8B845F40FF}"/>
    <cellStyle name="40% - Accent3 2" xfId="66" xr:uid="{00000000-0005-0000-0000-000002050000}"/>
    <cellStyle name="40% - Accent3 2 10" xfId="8800" xr:uid="{00FF2AAD-7D96-45B5-8981-0BB923A3505B}"/>
    <cellStyle name="40% - Accent3 2 11" xfId="9678" xr:uid="{A7E352B7-91BD-4724-841A-A411CABF5232}"/>
    <cellStyle name="40% - Accent3 2 2" xfId="67" xr:uid="{00000000-0005-0000-0000-000003050000}"/>
    <cellStyle name="40% - Accent3 2 2 10" xfId="9679" xr:uid="{2AD990D0-5DC5-4F0D-B800-D13B7ED9DF5A}"/>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2BF89340-E36A-4A40-9B97-AF31A3F24561}"/>
    <cellStyle name="40% - Accent3 2 2 2 2 2 3" xfId="12239" xr:uid="{3495FAB6-8BA5-4D2B-873A-069B8EEB0D7E}"/>
    <cellStyle name="40% - Accent3 2 2 2 2 3" xfId="4985" xr:uid="{00000000-0005-0000-0000-000008050000}"/>
    <cellStyle name="40% - Accent3 2 2 2 2 3 2" xfId="14311" xr:uid="{D684B927-683F-46F6-9A84-DC856B450DE8}"/>
    <cellStyle name="40% - Accent3 2 2 2 2 4" xfId="9535" xr:uid="{3AC66435-D4C7-42EF-A799-3DC81A57BDF4}"/>
    <cellStyle name="40% - Accent3 2 2 2 2 5" xfId="10094" xr:uid="{D38B0F20-3A51-40B5-91C8-09EE5E29F9F7}"/>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6636A92E-A9C8-49B5-AD20-8A35839BBE57}"/>
    <cellStyle name="40% - Accent3 2 2 2 3 2 3" xfId="12652" xr:uid="{4FEB860D-9201-4D06-B8CC-3C0FE8A456F0}"/>
    <cellStyle name="40% - Accent3 2 2 2 3 3" xfId="5398" xr:uid="{00000000-0005-0000-0000-00000C050000}"/>
    <cellStyle name="40% - Accent3 2 2 2 3 3 2" xfId="14724" xr:uid="{62D2DC9C-2768-49A6-BB66-9BB83AC47535}"/>
    <cellStyle name="40% - Accent3 2 2 2 3 4" xfId="10507" xr:uid="{94712123-C8D0-4873-B27E-0E99F0A78237}"/>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8339D8B2-6008-4A89-9B6E-D25421EE56F4}"/>
    <cellStyle name="40% - Accent3 2 2 2 4 2 3" xfId="13065" xr:uid="{12D63054-8266-4F14-BFEA-38FFCA809BE6}"/>
    <cellStyle name="40% - Accent3 2 2 2 4 3" xfId="5811" xr:uid="{00000000-0005-0000-0000-000010050000}"/>
    <cellStyle name="40% - Accent3 2 2 2 4 3 2" xfId="15137" xr:uid="{5A433025-02B3-4911-AA18-84BD8EB9CC58}"/>
    <cellStyle name="40% - Accent3 2 2 2 4 4" xfId="10920" xr:uid="{E734EA92-1DF3-4114-B0A5-C09C9AFCE006}"/>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F3B4D88D-1713-466D-B724-B9DD1F6ADD86}"/>
    <cellStyle name="40% - Accent3 2 2 2 5 2 3" xfId="13478" xr:uid="{77C30C8B-2811-45EB-8445-06FC518D67F4}"/>
    <cellStyle name="40% - Accent3 2 2 2 5 3" xfId="6224" xr:uid="{00000000-0005-0000-0000-000014050000}"/>
    <cellStyle name="40% - Accent3 2 2 2 5 3 2" xfId="15550" xr:uid="{D6638755-8C08-445B-8512-CE5258A431F4}"/>
    <cellStyle name="40% - Accent3 2 2 2 5 4" xfId="11333" xr:uid="{B6A01F04-31F5-44AF-B2D4-4E38531C0A8E}"/>
    <cellStyle name="40% - Accent3 2 2 2 6" xfId="2331" xr:uid="{00000000-0005-0000-0000-000015050000}"/>
    <cellStyle name="40% - Accent3 2 2 2 6 2" xfId="6637" xr:uid="{00000000-0005-0000-0000-000016050000}"/>
    <cellStyle name="40% - Accent3 2 2 2 6 2 2" xfId="15963" xr:uid="{9A400E97-A0CE-4F0A-82C1-A2B8677F76C3}"/>
    <cellStyle name="40% - Accent3 2 2 2 6 3" xfId="11746" xr:uid="{F7C042FD-E6EF-4E15-9BB1-97CC3B4DB263}"/>
    <cellStyle name="40% - Accent3 2 2 2 7" xfId="4571" xr:uid="{00000000-0005-0000-0000-000017050000}"/>
    <cellStyle name="40% - Accent3 2 2 2 7 2" xfId="13897" xr:uid="{55FFE7E9-A622-453C-B088-1B21D73A974C}"/>
    <cellStyle name="40% - Accent3 2 2 2 8" xfId="9110" xr:uid="{E41CBEF9-86F8-44B9-895F-532A7BDC9A2A}"/>
    <cellStyle name="40% - Accent3 2 2 2 9" xfId="9680" xr:uid="{8B8E41CE-17A2-4777-911D-D3B5BD1D7C7B}"/>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9DA4C98E-CD38-4EAB-B29A-8CC4ACDA8B98}"/>
    <cellStyle name="40% - Accent3 2 2 3 2 3" xfId="12238" xr:uid="{84C2EB4E-A568-49BC-81EA-C6B6ACE5A65E}"/>
    <cellStyle name="40% - Accent3 2 2 3 3" xfId="4984" xr:uid="{00000000-0005-0000-0000-00001B050000}"/>
    <cellStyle name="40% - Accent3 2 2 3 3 2" xfId="14310" xr:uid="{1BEBA638-C420-4371-A79E-24051E31AD30}"/>
    <cellStyle name="40% - Accent3 2 2 3 4" xfId="9328" xr:uid="{1DAEB9B9-01CE-426D-A8F1-CE08999D7264}"/>
    <cellStyle name="40% - Accent3 2 2 3 5" xfId="10093" xr:uid="{7680665B-4276-4429-9E7D-48F83FFF575C}"/>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4ED4622C-C2B6-4AAB-9933-817379AFE43F}"/>
    <cellStyle name="40% - Accent3 2 2 4 2 3" xfId="12651" xr:uid="{3733FA00-8A13-4814-AAAD-12C17DF3E867}"/>
    <cellStyle name="40% - Accent3 2 2 4 3" xfId="5397" xr:uid="{00000000-0005-0000-0000-00001F050000}"/>
    <cellStyle name="40% - Accent3 2 2 4 3 2" xfId="14723" xr:uid="{5FED48F0-2741-4969-A031-F3F3E4587D84}"/>
    <cellStyle name="40% - Accent3 2 2 4 4" xfId="10506" xr:uid="{DFA4EC12-3A1A-4659-BB54-57DC2DD799D1}"/>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E6740A60-DBFE-4545-80E5-E1F94DCE3098}"/>
    <cellStyle name="40% - Accent3 2 2 5 2 3" xfId="13064" xr:uid="{854A7956-2D4A-4075-91EE-A30CDEB91DDB}"/>
    <cellStyle name="40% - Accent3 2 2 5 3" xfId="5810" xr:uid="{00000000-0005-0000-0000-000023050000}"/>
    <cellStyle name="40% - Accent3 2 2 5 3 2" xfId="15136" xr:uid="{C8B9D6F9-3966-4CD3-B95C-95963BED3B00}"/>
    <cellStyle name="40% - Accent3 2 2 5 4" xfId="10919" xr:uid="{3E9BDAF4-F934-494A-AB76-A7FAFB16F144}"/>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1F631165-7D69-46BF-8F0B-9A340DB56122}"/>
    <cellStyle name="40% - Accent3 2 2 6 2 3" xfId="13477" xr:uid="{A66D400D-A085-425A-A1EF-A5D1CB61EA74}"/>
    <cellStyle name="40% - Accent3 2 2 6 3" xfId="6223" xr:uid="{00000000-0005-0000-0000-000027050000}"/>
    <cellStyle name="40% - Accent3 2 2 6 3 2" xfId="15549" xr:uid="{88E8D0A8-E3C0-4D80-84A7-3E059680494A}"/>
    <cellStyle name="40% - Accent3 2 2 6 4" xfId="11332" xr:uid="{375397C4-CB4D-4C60-9E5D-16399F20E67F}"/>
    <cellStyle name="40% - Accent3 2 2 7" xfId="2330" xr:uid="{00000000-0005-0000-0000-000028050000}"/>
    <cellStyle name="40% - Accent3 2 2 7 2" xfId="6636" xr:uid="{00000000-0005-0000-0000-000029050000}"/>
    <cellStyle name="40% - Accent3 2 2 7 2 2" xfId="15962" xr:uid="{627A76EE-8E30-40BE-B40C-93C8299F57AE}"/>
    <cellStyle name="40% - Accent3 2 2 7 3" xfId="11745" xr:uid="{1750AB5C-FDCD-4065-8539-F8940D9E3BD7}"/>
    <cellStyle name="40% - Accent3 2 2 8" xfId="4570" xr:uid="{00000000-0005-0000-0000-00002A050000}"/>
    <cellStyle name="40% - Accent3 2 2 8 2" xfId="13896" xr:uid="{282E4078-6DA8-4DC5-A096-C3545CC03985}"/>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C1E06C47-1373-4E9F-9346-48430DDA0FC0}"/>
    <cellStyle name="40% - Accent3 2 3 2 2 3" xfId="12240" xr:uid="{30B24783-63FF-4244-9B46-6F32451CFD95}"/>
    <cellStyle name="40% - Accent3 2 3 2 3" xfId="4986" xr:uid="{00000000-0005-0000-0000-00002F050000}"/>
    <cellStyle name="40% - Accent3 2 3 2 3 2" xfId="14312" xr:uid="{8613D5C7-084E-42C2-9CD9-DD07C82F299A}"/>
    <cellStyle name="40% - Accent3 2 3 2 4" xfId="9432" xr:uid="{54D6848B-0200-4F42-820D-262A8F9A2C0F}"/>
    <cellStyle name="40% - Accent3 2 3 2 5" xfId="10095" xr:uid="{BCF06A32-6826-461E-B247-8DF4482C4EBE}"/>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A9BB07E5-DCEE-447C-95B3-353156AEC2BD}"/>
    <cellStyle name="40% - Accent3 2 3 3 2 3" xfId="12653" xr:uid="{86A964C6-FE16-4671-8221-F94A09FC9460}"/>
    <cellStyle name="40% - Accent3 2 3 3 3" xfId="5399" xr:uid="{00000000-0005-0000-0000-000033050000}"/>
    <cellStyle name="40% - Accent3 2 3 3 3 2" xfId="14725" xr:uid="{ABD42749-156D-47B9-821E-CBCB6CB1DE38}"/>
    <cellStyle name="40% - Accent3 2 3 3 4" xfId="10508" xr:uid="{D10923D1-FADA-4EC9-BE90-7E4E20A1CA2C}"/>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64FEBFA3-2C89-4658-9E99-FCE76B0ABD98}"/>
    <cellStyle name="40% - Accent3 2 3 4 2 3" xfId="13066" xr:uid="{B2AE13E6-AB57-48A9-B26C-CD8CB1132E3D}"/>
    <cellStyle name="40% - Accent3 2 3 4 3" xfId="5812" xr:uid="{00000000-0005-0000-0000-000037050000}"/>
    <cellStyle name="40% - Accent3 2 3 4 3 2" xfId="15138" xr:uid="{37C23167-75A3-4B8A-BB26-125A0D4362EC}"/>
    <cellStyle name="40% - Accent3 2 3 4 4" xfId="10921" xr:uid="{8F124CB1-0FDB-4489-969D-5D9A7D4F4744}"/>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2F1E7154-F801-4DB3-9885-DF983D9D7411}"/>
    <cellStyle name="40% - Accent3 2 3 5 2 3" xfId="13479" xr:uid="{56795466-5765-4602-B6D5-DE69836B5AF8}"/>
    <cellStyle name="40% - Accent3 2 3 5 3" xfId="6225" xr:uid="{00000000-0005-0000-0000-00003B050000}"/>
    <cellStyle name="40% - Accent3 2 3 5 3 2" xfId="15551" xr:uid="{32D8BC89-32AB-47C1-9E17-E7BC4CA4BAC5}"/>
    <cellStyle name="40% - Accent3 2 3 5 4" xfId="11334" xr:uid="{2DEEE0F4-25DB-4DE2-B42C-6078857DBFA1}"/>
    <cellStyle name="40% - Accent3 2 3 6" xfId="2332" xr:uid="{00000000-0005-0000-0000-00003C050000}"/>
    <cellStyle name="40% - Accent3 2 3 6 2" xfId="6638" xr:uid="{00000000-0005-0000-0000-00003D050000}"/>
    <cellStyle name="40% - Accent3 2 3 6 2 2" xfId="15964" xr:uid="{C0E16F96-7125-48C3-ABD5-852D7C2892F4}"/>
    <cellStyle name="40% - Accent3 2 3 6 3" xfId="11747" xr:uid="{81ABF5FE-4BE7-411E-852C-DF5A8D694795}"/>
    <cellStyle name="40% - Accent3 2 3 7" xfId="4572" xr:uid="{00000000-0005-0000-0000-00003E050000}"/>
    <cellStyle name="40% - Accent3 2 3 7 2" xfId="13898" xr:uid="{A69A10B9-01AA-458F-BACF-9280AD4A197B}"/>
    <cellStyle name="40% - Accent3 2 3 8" xfId="9007" xr:uid="{2DEFD82C-2A62-4C1E-AA8D-7F2606BD9091}"/>
    <cellStyle name="40% - Accent3 2 3 9" xfId="9681" xr:uid="{CE09D131-35BC-42FC-A46C-B680CD867921}"/>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6E3B77F1-3FC2-4EDF-BDBD-0FFB49B56072}"/>
    <cellStyle name="40% - Accent3 2 4 2 3" xfId="12237" xr:uid="{03229C6F-DC63-4661-8EE3-B0B62B99F65F}"/>
    <cellStyle name="40% - Accent3 2 4 3" xfId="4983" xr:uid="{00000000-0005-0000-0000-000042050000}"/>
    <cellStyle name="40% - Accent3 2 4 3 2" xfId="14309" xr:uid="{10A636B5-0E14-4252-9041-6B7B7C5D867A}"/>
    <cellStyle name="40% - Accent3 2 4 4" xfId="9224" xr:uid="{6B91012A-BFF2-4F1F-901C-A91F06F80031}"/>
    <cellStyle name="40% - Accent3 2 4 5" xfId="10092" xr:uid="{DAE46049-DDB8-460D-A15E-D5EAFF85E60E}"/>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79C2632E-06A6-4C03-BF3F-BCC21EE3EB43}"/>
    <cellStyle name="40% - Accent3 2 5 2 3" xfId="12650" xr:uid="{292A9FDB-5660-4636-86F6-537612BEC545}"/>
    <cellStyle name="40% - Accent3 2 5 3" xfId="5396" xr:uid="{00000000-0005-0000-0000-000046050000}"/>
    <cellStyle name="40% - Accent3 2 5 3 2" xfId="14722" xr:uid="{BC5A30C4-E56A-449C-82DF-D2C986CFAF9C}"/>
    <cellStyle name="40% - Accent3 2 5 4" xfId="10505" xr:uid="{22A0737C-B99B-4429-91A5-D73FA17ED023}"/>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01228BBA-6256-4789-A7D9-8F2AC7168EB6}"/>
    <cellStyle name="40% - Accent3 2 6 2 3" xfId="13063" xr:uid="{323ABEE3-06AB-4153-87C2-F6E80401CD26}"/>
    <cellStyle name="40% - Accent3 2 6 3" xfId="5809" xr:uid="{00000000-0005-0000-0000-00004A050000}"/>
    <cellStyle name="40% - Accent3 2 6 3 2" xfId="15135" xr:uid="{B6DAE6ED-0DDF-4B98-B261-7D158D47055B}"/>
    <cellStyle name="40% - Accent3 2 6 4" xfId="10918" xr:uid="{43CD00B4-310A-4A37-AAC1-8627215833E4}"/>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E28B716C-A772-4FA9-96BC-F14F82C4D1D6}"/>
    <cellStyle name="40% - Accent3 2 7 2 3" xfId="13476" xr:uid="{6DFE72BC-C4A6-406D-86DF-5E482E507200}"/>
    <cellStyle name="40% - Accent3 2 7 3" xfId="6222" xr:uid="{00000000-0005-0000-0000-00004E050000}"/>
    <cellStyle name="40% - Accent3 2 7 3 2" xfId="15548" xr:uid="{D5096186-E17A-46A3-9C8F-81446E736471}"/>
    <cellStyle name="40% - Accent3 2 7 4" xfId="11331" xr:uid="{F7912141-74E0-4736-AD44-FD682946A1D7}"/>
    <cellStyle name="40% - Accent3 2 8" xfId="2329" xr:uid="{00000000-0005-0000-0000-00004F050000}"/>
    <cellStyle name="40% - Accent3 2 8 2" xfId="6635" xr:uid="{00000000-0005-0000-0000-000050050000}"/>
    <cellStyle name="40% - Accent3 2 8 2 2" xfId="15961" xr:uid="{33EC5F94-2642-45C1-A8DE-B1AC6E0E2399}"/>
    <cellStyle name="40% - Accent3 2 8 3" xfId="11744" xr:uid="{D8A7AEC5-1E85-4FD9-B35B-5DDF1DB7F621}"/>
    <cellStyle name="40% - Accent3 2 9" xfId="4569" xr:uid="{00000000-0005-0000-0000-000051050000}"/>
    <cellStyle name="40% - Accent3 2 9 2" xfId="13895" xr:uid="{4DD8A39F-D454-424F-98BA-05F6144EF61E}"/>
    <cellStyle name="40% - Accent3 3" xfId="70" xr:uid="{00000000-0005-0000-0000-000052050000}"/>
    <cellStyle name="40% - Accent3 3 10" xfId="9682" xr:uid="{DD8AED0F-4AF7-43D5-9296-AE8247684B1B}"/>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F2CC61A2-F6F6-40A1-B6BA-5782E3AA6C95}"/>
    <cellStyle name="40% - Accent3 3 2 2 2 3" xfId="12242" xr:uid="{9AB041C2-DD36-495B-B7F7-5A2E8EEA29E4}"/>
    <cellStyle name="40% - Accent3 3 2 2 3" xfId="4988" xr:uid="{00000000-0005-0000-0000-000057050000}"/>
    <cellStyle name="40% - Accent3 3 2 2 3 2" xfId="14314" xr:uid="{1721A288-1761-41E3-9D84-29049C8F78B9}"/>
    <cellStyle name="40% - Accent3 3 2 2 4" xfId="9498" xr:uid="{7C43CF58-5AE0-4BAA-9D2B-CAB92F3612F1}"/>
    <cellStyle name="40% - Accent3 3 2 2 5" xfId="10097" xr:uid="{3674F2F2-123E-46D1-B994-2A7BAF0686A3}"/>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A6D4C300-8388-408B-BB2E-DDC36BC157B6}"/>
    <cellStyle name="40% - Accent3 3 2 3 2 3" xfId="12655" xr:uid="{4C4396EB-31C6-490D-9C19-70260541FB05}"/>
    <cellStyle name="40% - Accent3 3 2 3 3" xfId="5401" xr:uid="{00000000-0005-0000-0000-00005B050000}"/>
    <cellStyle name="40% - Accent3 3 2 3 3 2" xfId="14727" xr:uid="{037E9D74-A5AB-43A3-BC87-69D05B02C799}"/>
    <cellStyle name="40% - Accent3 3 2 3 4" xfId="10510" xr:uid="{79D6E58B-43DD-4EF1-9C90-7C9802A19D64}"/>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A5CC99A7-D186-4900-AB25-46652375F594}"/>
    <cellStyle name="40% - Accent3 3 2 4 2 3" xfId="13068" xr:uid="{CE9236D4-2829-41A6-B92B-694872750686}"/>
    <cellStyle name="40% - Accent3 3 2 4 3" xfId="5814" xr:uid="{00000000-0005-0000-0000-00005F050000}"/>
    <cellStyle name="40% - Accent3 3 2 4 3 2" xfId="15140" xr:uid="{4124D413-F375-42A7-807F-F89971B0FE6B}"/>
    <cellStyle name="40% - Accent3 3 2 4 4" xfId="10923" xr:uid="{964C66C0-E455-42D4-A1C9-8895F5CFB343}"/>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ED708E77-31E4-45FB-8D05-D0226953E95C}"/>
    <cellStyle name="40% - Accent3 3 2 5 2 3" xfId="13481" xr:uid="{56938A5C-1209-4464-8600-66A906CF29F4}"/>
    <cellStyle name="40% - Accent3 3 2 5 3" xfId="6227" xr:uid="{00000000-0005-0000-0000-000063050000}"/>
    <cellStyle name="40% - Accent3 3 2 5 3 2" xfId="15553" xr:uid="{80AAB351-A90B-408D-B568-90A248D3282A}"/>
    <cellStyle name="40% - Accent3 3 2 5 4" xfId="11336" xr:uid="{9ED75189-B090-46BD-B77E-9422F346D8D9}"/>
    <cellStyle name="40% - Accent3 3 2 6" xfId="2334" xr:uid="{00000000-0005-0000-0000-000064050000}"/>
    <cellStyle name="40% - Accent3 3 2 6 2" xfId="6640" xr:uid="{00000000-0005-0000-0000-000065050000}"/>
    <cellStyle name="40% - Accent3 3 2 6 2 2" xfId="15966" xr:uid="{82565094-2FF7-41E9-88AE-9D30E5E20CED}"/>
    <cellStyle name="40% - Accent3 3 2 6 3" xfId="11749" xr:uid="{03413F1C-4B27-4BEA-BB06-50179CBB90DC}"/>
    <cellStyle name="40% - Accent3 3 2 7" xfId="4574" xr:uid="{00000000-0005-0000-0000-000066050000}"/>
    <cellStyle name="40% - Accent3 3 2 7 2" xfId="13900" xr:uid="{971B324C-4F1D-41CE-9D41-DC7E8A96F0F4}"/>
    <cellStyle name="40% - Accent3 3 2 8" xfId="9073" xr:uid="{0E71C752-2CF0-411D-A05E-4DA4A73CFC34}"/>
    <cellStyle name="40% - Accent3 3 2 9" xfId="9683" xr:uid="{6B4B2528-EF7E-44D1-B9BF-A553BA6C97CB}"/>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EBB9309C-28ED-499C-801F-F97ABC8F4BB4}"/>
    <cellStyle name="40% - Accent3 3 3 2 3" xfId="12241" xr:uid="{877A0F27-4712-44CA-A2FC-6DCF78AE5113}"/>
    <cellStyle name="40% - Accent3 3 3 3" xfId="4987" xr:uid="{00000000-0005-0000-0000-00006A050000}"/>
    <cellStyle name="40% - Accent3 3 3 3 2" xfId="14313" xr:uid="{9928AC3C-D3D8-4338-B024-49427B450FFF}"/>
    <cellStyle name="40% - Accent3 3 3 4" xfId="9291" xr:uid="{59AB3F6D-A8C6-4A37-A8E3-967850079A77}"/>
    <cellStyle name="40% - Accent3 3 3 5" xfId="10096" xr:uid="{888F6378-2774-4683-9B2B-934C0F6D5D4A}"/>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BE476EED-ED37-4CCF-9E75-7D9CEE587751}"/>
    <cellStyle name="40% - Accent3 3 4 2 3" xfId="12654" xr:uid="{81355588-E63B-4C38-9F26-619D393870BA}"/>
    <cellStyle name="40% - Accent3 3 4 3" xfId="5400" xr:uid="{00000000-0005-0000-0000-00006E050000}"/>
    <cellStyle name="40% - Accent3 3 4 3 2" xfId="14726" xr:uid="{739F975F-ACFE-417A-AF73-F4FA514C30AB}"/>
    <cellStyle name="40% - Accent3 3 4 4" xfId="10509" xr:uid="{04025A50-D0A9-4E5B-A602-0E16E441DCB1}"/>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87B24937-988B-4B40-90E6-E36DE0815F4C}"/>
    <cellStyle name="40% - Accent3 3 5 2 3" xfId="13067" xr:uid="{4055F8E1-12C4-42A7-B6AA-08376B0F9117}"/>
    <cellStyle name="40% - Accent3 3 5 3" xfId="5813" xr:uid="{00000000-0005-0000-0000-000072050000}"/>
    <cellStyle name="40% - Accent3 3 5 3 2" xfId="15139" xr:uid="{32DEC7F6-528F-48F9-B98D-5B1472284B3E}"/>
    <cellStyle name="40% - Accent3 3 5 4" xfId="10922" xr:uid="{7E70022B-925C-4543-9635-2FDF2DAA6ABC}"/>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F27A5EAD-8D6E-44EC-9ABA-A19E62A8E59A}"/>
    <cellStyle name="40% - Accent3 3 6 2 3" xfId="13480" xr:uid="{0D8BB373-7FAA-4F79-9E54-592F03D77E0F}"/>
    <cellStyle name="40% - Accent3 3 6 3" xfId="6226" xr:uid="{00000000-0005-0000-0000-000076050000}"/>
    <cellStyle name="40% - Accent3 3 6 3 2" xfId="15552" xr:uid="{955776E4-3403-4A75-ABD3-B30C3695E9C1}"/>
    <cellStyle name="40% - Accent3 3 6 4" xfId="11335" xr:uid="{D5F982CF-6D4B-4CBE-8BDD-813AA39500BD}"/>
    <cellStyle name="40% - Accent3 3 7" xfId="2333" xr:uid="{00000000-0005-0000-0000-000077050000}"/>
    <cellStyle name="40% - Accent3 3 7 2" xfId="6639" xr:uid="{00000000-0005-0000-0000-000078050000}"/>
    <cellStyle name="40% - Accent3 3 7 2 2" xfId="15965" xr:uid="{27C8972A-F2DE-45CA-9A82-AF6BBA2995B7}"/>
    <cellStyle name="40% - Accent3 3 7 3" xfId="11748" xr:uid="{BAD93503-8B7F-4546-9A29-BB3D6615E1BC}"/>
    <cellStyle name="40% - Accent3 3 8" xfId="4573" xr:uid="{00000000-0005-0000-0000-000079050000}"/>
    <cellStyle name="40% - Accent3 3 8 2" xfId="13899" xr:uid="{CCA19AEE-E410-49AB-8901-628D8541BF0F}"/>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8E0C1D48-5210-48C4-9743-6C1AB523CDAC}"/>
    <cellStyle name="40% - Accent3 4 2 2 3" xfId="12243" xr:uid="{F42D2A08-3A02-440E-B40F-16AB95E288EF}"/>
    <cellStyle name="40% - Accent3 4 2 3" xfId="4989" xr:uid="{00000000-0005-0000-0000-00007E050000}"/>
    <cellStyle name="40% - Accent3 4 2 3 2" xfId="14315" xr:uid="{8A95232C-CCD8-475C-AE8B-34AABCAF4CFB}"/>
    <cellStyle name="40% - Accent3 4 2 4" xfId="9377" xr:uid="{F4393833-4E73-4685-9332-CF918D5239A9}"/>
    <cellStyle name="40% - Accent3 4 2 5" xfId="10098" xr:uid="{EB3D0DC7-6B48-4E01-9C61-B40E2F6E71A9}"/>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AAEB8E2D-609D-405F-AF25-C5005E50F37D}"/>
    <cellStyle name="40% - Accent3 4 3 2 3" xfId="12656" xr:uid="{B084CA10-B857-431B-8F91-1D83E15C9FA0}"/>
    <cellStyle name="40% - Accent3 4 3 3" xfId="5402" xr:uid="{00000000-0005-0000-0000-000082050000}"/>
    <cellStyle name="40% - Accent3 4 3 3 2" xfId="14728" xr:uid="{6BFDEA2B-C2BF-4C13-AF10-30CAD0FE295F}"/>
    <cellStyle name="40% - Accent3 4 3 4" xfId="10511" xr:uid="{2088412E-917C-49BA-A469-C16414E101BA}"/>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1BA87DD8-EDCA-4C11-BE7A-DCDA5CAA168A}"/>
    <cellStyle name="40% - Accent3 4 4 2 3" xfId="13069" xr:uid="{5DDA925A-D45F-4C72-923B-84AA4FBE3585}"/>
    <cellStyle name="40% - Accent3 4 4 3" xfId="5815" xr:uid="{00000000-0005-0000-0000-000086050000}"/>
    <cellStyle name="40% - Accent3 4 4 3 2" xfId="15141" xr:uid="{B3A41072-42BD-4110-B512-F9D86D2B1BC9}"/>
    <cellStyle name="40% - Accent3 4 4 4" xfId="10924" xr:uid="{6439F704-4A9D-4C45-B748-644DB0018C6F}"/>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402D6C50-CC3E-4475-9E34-1EDB8E97C344}"/>
    <cellStyle name="40% - Accent3 4 5 2 3" xfId="13482" xr:uid="{39909C48-EA3E-4D22-A34F-667A5FB62F10}"/>
    <cellStyle name="40% - Accent3 4 5 3" xfId="6228" xr:uid="{00000000-0005-0000-0000-00008A050000}"/>
    <cellStyle name="40% - Accent3 4 5 3 2" xfId="15554" xr:uid="{7CFB6452-3260-49A6-9B14-68ABA1026276}"/>
    <cellStyle name="40% - Accent3 4 5 4" xfId="11337" xr:uid="{78153875-1C5F-4708-B74E-65982A5E93A0}"/>
    <cellStyle name="40% - Accent3 4 6" xfId="2335" xr:uid="{00000000-0005-0000-0000-00008B050000}"/>
    <cellStyle name="40% - Accent3 4 6 2" xfId="6641" xr:uid="{00000000-0005-0000-0000-00008C050000}"/>
    <cellStyle name="40% - Accent3 4 6 2 2" xfId="15967" xr:uid="{B8C052B8-6C99-47F2-A1F3-133AA4475499}"/>
    <cellStyle name="40% - Accent3 4 6 3" xfId="11750" xr:uid="{2FE448EF-7FF9-4A5A-A95C-BA9A29CC9068}"/>
    <cellStyle name="40% - Accent3 4 7" xfId="4575" xr:uid="{00000000-0005-0000-0000-00008D050000}"/>
    <cellStyle name="40% - Accent3 4 7 2" xfId="13901" xr:uid="{38E019ED-AA09-42A0-8D11-28845731B27C}"/>
    <cellStyle name="40% - Accent3 4 8" xfId="8952" xr:uid="{74BF8F1E-4A34-4787-9BA1-0B97E446635F}"/>
    <cellStyle name="40% - Accent3 4 9" xfId="9684" xr:uid="{07CF8714-9B3E-40B6-885F-E917FA8764D0}"/>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5CDDDD24-9531-43CB-BF1B-95E9A132BE38}"/>
    <cellStyle name="40% - Accent3 5 2 3" xfId="12236" xr:uid="{55836057-5558-4A07-8679-03F1C9B693F4}"/>
    <cellStyle name="40% - Accent3 5 3" xfId="4982" xr:uid="{00000000-0005-0000-0000-000091050000}"/>
    <cellStyle name="40% - Accent3 5 3 2" xfId="14308" xr:uid="{9A3BEB4B-7FA3-44A0-8790-0E66DFE46D75}"/>
    <cellStyle name="40% - Accent3 5 4" xfId="9185" xr:uid="{526F025D-EBF7-4976-9E38-4C0631A2843B}"/>
    <cellStyle name="40% - Accent3 5 5" xfId="10091" xr:uid="{5952DF70-A661-48B0-B4A8-500F90B48D68}"/>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626A0E98-D124-4F15-9F7A-FFD908C58EAC}"/>
    <cellStyle name="40% - Accent3 6 2 3" xfId="12649" xr:uid="{A4250EC8-4462-4757-ADD8-B620B96BC7E6}"/>
    <cellStyle name="40% - Accent3 6 3" xfId="5395" xr:uid="{00000000-0005-0000-0000-000095050000}"/>
    <cellStyle name="40% - Accent3 6 3 2" xfId="14721" xr:uid="{88E27223-4B4F-493A-A122-FB17C709E9A8}"/>
    <cellStyle name="40% - Accent3 6 4" xfId="10504" xr:uid="{D2603918-CB09-4C04-825D-C0A4EB337CA7}"/>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777B045C-0E51-479E-80E1-F56D366B5CB1}"/>
    <cellStyle name="40% - Accent3 7 2 3" xfId="13062" xr:uid="{1ECEEA1D-4A0F-44DF-AD45-41442DC53019}"/>
    <cellStyle name="40% - Accent3 7 3" xfId="5808" xr:uid="{00000000-0005-0000-0000-000099050000}"/>
    <cellStyle name="40% - Accent3 7 3 2" xfId="15134" xr:uid="{B99D09C1-AD0A-4789-AE3F-C920D565B5DD}"/>
    <cellStyle name="40% - Accent3 7 4" xfId="10917" xr:uid="{9A220182-9EC8-4F10-AA8D-E3BF9496D536}"/>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A5DAB6CC-C62A-4138-99AD-655518171C42}"/>
    <cellStyle name="40% - Accent3 8 2 3" xfId="13475" xr:uid="{847B319A-C0B1-4DBA-8366-E95D5A26F0C5}"/>
    <cellStyle name="40% - Accent3 8 3" xfId="6221" xr:uid="{00000000-0005-0000-0000-00009D050000}"/>
    <cellStyle name="40% - Accent3 8 3 2" xfId="15547" xr:uid="{4AB5D273-88E1-4265-92FA-F451E519BEE0}"/>
    <cellStyle name="40% - Accent3 8 4" xfId="11330" xr:uid="{B9EE1283-7654-4C5A-8674-3E4BA9CBCF12}"/>
    <cellStyle name="40% - Accent3 9" xfId="2328" xr:uid="{00000000-0005-0000-0000-00009E050000}"/>
    <cellStyle name="40% - Accent3 9 2" xfId="6634" xr:uid="{00000000-0005-0000-0000-00009F050000}"/>
    <cellStyle name="40% - Accent3 9 2 2" xfId="15960" xr:uid="{2FF2EC93-1DD2-4041-8D5E-CFBA64432FFC}"/>
    <cellStyle name="40% - Accent3 9 3" xfId="11743" xr:uid="{F253D548-B190-4B24-8EB4-01ACE60B0284}"/>
    <cellStyle name="40% - Accent4" xfId="73" builtinId="43" customBuiltin="1"/>
    <cellStyle name="40% - Accent4 10" xfId="4576" xr:uid="{00000000-0005-0000-0000-0000A1050000}"/>
    <cellStyle name="40% - Accent4 10 2" xfId="13902" xr:uid="{65003539-7339-464B-9BD2-FC6B0993394D}"/>
    <cellStyle name="40% - Accent4 11" xfId="8765" xr:uid="{18B6B6D6-5043-43D1-BB02-3855BF7027C3}"/>
    <cellStyle name="40% - Accent4 12" xfId="9685" xr:uid="{A045CE2F-9818-464A-91A0-CB5DCAD77BD9}"/>
    <cellStyle name="40% - Accent4 2" xfId="74" xr:uid="{00000000-0005-0000-0000-0000A2050000}"/>
    <cellStyle name="40% - Accent4 2 10" xfId="8801" xr:uid="{223FCC58-A05E-4022-8080-E75A80678FA6}"/>
    <cellStyle name="40% - Accent4 2 11" xfId="9686" xr:uid="{7B0FA719-8715-4A32-8A65-CBEACAFD9E9E}"/>
    <cellStyle name="40% - Accent4 2 2" xfId="75" xr:uid="{00000000-0005-0000-0000-0000A3050000}"/>
    <cellStyle name="40% - Accent4 2 2 10" xfId="9687" xr:uid="{714E95BE-61AD-41B0-8F9D-49F5F1526126}"/>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7523AA93-1315-4783-9976-9D2306368B4D}"/>
    <cellStyle name="40% - Accent4 2 2 2 2 2 3" xfId="12247" xr:uid="{9E15B5A7-7E8F-4FB6-9DAD-304969361901}"/>
    <cellStyle name="40% - Accent4 2 2 2 2 3" xfId="4993" xr:uid="{00000000-0005-0000-0000-0000A8050000}"/>
    <cellStyle name="40% - Accent4 2 2 2 2 3 2" xfId="14319" xr:uid="{3306F170-9E7A-4838-8860-9C7913F24EBF}"/>
    <cellStyle name="40% - Accent4 2 2 2 2 4" xfId="9536" xr:uid="{4351D24F-CE30-4CFD-968F-4B882F0FC9B5}"/>
    <cellStyle name="40% - Accent4 2 2 2 2 5" xfId="10102" xr:uid="{10C32FDE-DED6-47DE-83C8-DAF0FF0CD276}"/>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079CF239-D044-47DD-BDD1-873549E93E6A}"/>
    <cellStyle name="40% - Accent4 2 2 2 3 2 3" xfId="12660" xr:uid="{05BB666B-82D5-4658-8E53-FE18A6BD23B7}"/>
    <cellStyle name="40% - Accent4 2 2 2 3 3" xfId="5406" xr:uid="{00000000-0005-0000-0000-0000AC050000}"/>
    <cellStyle name="40% - Accent4 2 2 2 3 3 2" xfId="14732" xr:uid="{1AA5BFE9-6E64-4ABF-B40F-C5603B8729A3}"/>
    <cellStyle name="40% - Accent4 2 2 2 3 4" xfId="10515" xr:uid="{FDF5D337-9272-4C8F-81CE-1B96E7CA67E3}"/>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CC32469E-17CB-4F76-9BF1-D245FEBE5655}"/>
    <cellStyle name="40% - Accent4 2 2 2 4 2 3" xfId="13073" xr:uid="{0BFDC5EB-65CA-4BD1-AD5B-C66DACCCDE21}"/>
    <cellStyle name="40% - Accent4 2 2 2 4 3" xfId="5819" xr:uid="{00000000-0005-0000-0000-0000B0050000}"/>
    <cellStyle name="40% - Accent4 2 2 2 4 3 2" xfId="15145" xr:uid="{022EA10D-7ED3-4594-BB3F-9C3DCD6486F8}"/>
    <cellStyle name="40% - Accent4 2 2 2 4 4" xfId="10928" xr:uid="{ED795477-FA8B-4A4F-B27F-481EA904CBF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7440B37E-8685-49E6-84AB-A2A94CA36393}"/>
    <cellStyle name="40% - Accent4 2 2 2 5 2 3" xfId="13486" xr:uid="{AE7CD519-8B30-4E0D-B06C-297FD582F20E}"/>
    <cellStyle name="40% - Accent4 2 2 2 5 3" xfId="6232" xr:uid="{00000000-0005-0000-0000-0000B4050000}"/>
    <cellStyle name="40% - Accent4 2 2 2 5 3 2" xfId="15558" xr:uid="{B69B84F4-7AE8-440C-9CD0-AE0BEAD57A7B}"/>
    <cellStyle name="40% - Accent4 2 2 2 5 4" xfId="11341" xr:uid="{47A97734-3AFF-41C1-AAE7-929BEE63F367}"/>
    <cellStyle name="40% - Accent4 2 2 2 6" xfId="2339" xr:uid="{00000000-0005-0000-0000-0000B5050000}"/>
    <cellStyle name="40% - Accent4 2 2 2 6 2" xfId="6645" xr:uid="{00000000-0005-0000-0000-0000B6050000}"/>
    <cellStyle name="40% - Accent4 2 2 2 6 2 2" xfId="15971" xr:uid="{9C3E3905-F5D6-4709-8DA7-B353D4374CC0}"/>
    <cellStyle name="40% - Accent4 2 2 2 6 3" xfId="11754" xr:uid="{D35DE8EC-925A-4917-89DA-FC231D7E041E}"/>
    <cellStyle name="40% - Accent4 2 2 2 7" xfId="4579" xr:uid="{00000000-0005-0000-0000-0000B7050000}"/>
    <cellStyle name="40% - Accent4 2 2 2 7 2" xfId="13905" xr:uid="{6071562C-C111-41A3-A886-34FC86D4FF7D}"/>
    <cellStyle name="40% - Accent4 2 2 2 8" xfId="9111" xr:uid="{1DD86F12-0D11-497C-88D9-78D90E1EF65F}"/>
    <cellStyle name="40% - Accent4 2 2 2 9" xfId="9688" xr:uid="{14402EEC-C9E7-4CC5-A4ED-049AAD23AB0B}"/>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DBC417B9-82A6-44F9-AC33-6B7D63436536}"/>
    <cellStyle name="40% - Accent4 2 2 3 2 3" xfId="12246" xr:uid="{1EE5206A-0186-44F4-BC04-2CD791D75945}"/>
    <cellStyle name="40% - Accent4 2 2 3 3" xfId="4992" xr:uid="{00000000-0005-0000-0000-0000BB050000}"/>
    <cellStyle name="40% - Accent4 2 2 3 3 2" xfId="14318" xr:uid="{226EFD8E-8039-4699-A69D-E9F0DE01D406}"/>
    <cellStyle name="40% - Accent4 2 2 3 4" xfId="9329" xr:uid="{62CB3536-9FC4-4DBF-9121-AD0025D891C9}"/>
    <cellStyle name="40% - Accent4 2 2 3 5" xfId="10101" xr:uid="{EDF20503-EDBB-4DD1-A803-0EFB222809EB}"/>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54A782B5-DFC4-472F-9126-E2FD9D75B394}"/>
    <cellStyle name="40% - Accent4 2 2 4 2 3" xfId="12659" xr:uid="{8423BA90-EAAB-4702-B84D-A12190D2D73D}"/>
    <cellStyle name="40% - Accent4 2 2 4 3" xfId="5405" xr:uid="{00000000-0005-0000-0000-0000BF050000}"/>
    <cellStyle name="40% - Accent4 2 2 4 3 2" xfId="14731" xr:uid="{5D5F81F5-55D7-49F6-A65A-8D75D62F824A}"/>
    <cellStyle name="40% - Accent4 2 2 4 4" xfId="10514" xr:uid="{DF6808A1-0E8F-471B-871A-985D78AD47D3}"/>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EC1ABCA8-4302-4192-8432-96940A71E955}"/>
    <cellStyle name="40% - Accent4 2 2 5 2 3" xfId="13072" xr:uid="{62E92911-6AF5-4A6A-AA0C-1E9FB9976700}"/>
    <cellStyle name="40% - Accent4 2 2 5 3" xfId="5818" xr:uid="{00000000-0005-0000-0000-0000C3050000}"/>
    <cellStyle name="40% - Accent4 2 2 5 3 2" xfId="15144" xr:uid="{3E6E3E3D-A677-4F81-BA6A-E540D4AA379E}"/>
    <cellStyle name="40% - Accent4 2 2 5 4" xfId="10927" xr:uid="{02BE218F-8CDD-48DA-89D3-219AE686F1AE}"/>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B41BE1BB-688C-41B7-B644-924259D246A4}"/>
    <cellStyle name="40% - Accent4 2 2 6 2 3" xfId="13485" xr:uid="{D1A20D2D-BA64-40F7-BD68-E954B27471D5}"/>
    <cellStyle name="40% - Accent4 2 2 6 3" xfId="6231" xr:uid="{00000000-0005-0000-0000-0000C7050000}"/>
    <cellStyle name="40% - Accent4 2 2 6 3 2" xfId="15557" xr:uid="{CEBF74CB-5D2E-4641-9526-D386E7A17299}"/>
    <cellStyle name="40% - Accent4 2 2 6 4" xfId="11340" xr:uid="{924A6E1B-E5DF-47A1-BED3-DA87C9B38561}"/>
    <cellStyle name="40% - Accent4 2 2 7" xfId="2338" xr:uid="{00000000-0005-0000-0000-0000C8050000}"/>
    <cellStyle name="40% - Accent4 2 2 7 2" xfId="6644" xr:uid="{00000000-0005-0000-0000-0000C9050000}"/>
    <cellStyle name="40% - Accent4 2 2 7 2 2" xfId="15970" xr:uid="{7A631009-DDAE-4290-9BA3-1423B5655807}"/>
    <cellStyle name="40% - Accent4 2 2 7 3" xfId="11753" xr:uid="{1F0E3C37-F658-40B7-B0EB-B33FEC4E45E3}"/>
    <cellStyle name="40% - Accent4 2 2 8" xfId="4578" xr:uid="{00000000-0005-0000-0000-0000CA050000}"/>
    <cellStyle name="40% - Accent4 2 2 8 2" xfId="13904" xr:uid="{BB68288A-07A0-4CB8-9CEB-65E38E0F8438}"/>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1BF821CA-9A2D-43C5-AEBF-9E85BB1F769F}"/>
    <cellStyle name="40% - Accent4 2 3 2 2 3" xfId="12248" xr:uid="{FF4E4B69-C763-4521-B1A2-F53D3316F46F}"/>
    <cellStyle name="40% - Accent4 2 3 2 3" xfId="4994" xr:uid="{00000000-0005-0000-0000-0000CF050000}"/>
    <cellStyle name="40% - Accent4 2 3 2 3 2" xfId="14320" xr:uid="{ECB37B8B-436A-4A38-8F21-78AD66611863}"/>
    <cellStyle name="40% - Accent4 2 3 2 4" xfId="9433" xr:uid="{058786D1-7E7D-40D9-9218-B4C7219F4E53}"/>
    <cellStyle name="40% - Accent4 2 3 2 5" xfId="10103" xr:uid="{C3AFE36D-E0D0-4011-B39B-810B8E9D1198}"/>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EE2E7A90-6668-436E-9CC1-8258BBDEA0F1}"/>
    <cellStyle name="40% - Accent4 2 3 3 2 3" xfId="12661" xr:uid="{867ECC6E-FD1E-410F-83E9-189AECE3A6EB}"/>
    <cellStyle name="40% - Accent4 2 3 3 3" xfId="5407" xr:uid="{00000000-0005-0000-0000-0000D3050000}"/>
    <cellStyle name="40% - Accent4 2 3 3 3 2" xfId="14733" xr:uid="{8537B20E-D161-4A28-BB25-7677136E289D}"/>
    <cellStyle name="40% - Accent4 2 3 3 4" xfId="10516" xr:uid="{ADB49587-B0D8-4591-B8A6-3CF4D01805A1}"/>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2CE49554-8111-49B1-B115-186A27B7F74A}"/>
    <cellStyle name="40% - Accent4 2 3 4 2 3" xfId="13074" xr:uid="{4ABF3A8B-8DCD-4E13-A4D3-BAB05B27210F}"/>
    <cellStyle name="40% - Accent4 2 3 4 3" xfId="5820" xr:uid="{00000000-0005-0000-0000-0000D7050000}"/>
    <cellStyle name="40% - Accent4 2 3 4 3 2" xfId="15146" xr:uid="{60E8CDF0-AE59-4BB3-9DE7-9446798C32AA}"/>
    <cellStyle name="40% - Accent4 2 3 4 4" xfId="10929" xr:uid="{F53E716C-5282-41B2-9409-1D2C89FF6972}"/>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4C8F10CD-A14A-4FA5-AE18-19429B60285C}"/>
    <cellStyle name="40% - Accent4 2 3 5 2 3" xfId="13487" xr:uid="{2082559D-8323-4805-9E4C-00A3D277C152}"/>
    <cellStyle name="40% - Accent4 2 3 5 3" xfId="6233" xr:uid="{00000000-0005-0000-0000-0000DB050000}"/>
    <cellStyle name="40% - Accent4 2 3 5 3 2" xfId="15559" xr:uid="{8E5ACC01-C1CA-411D-8819-327629BF73DA}"/>
    <cellStyle name="40% - Accent4 2 3 5 4" xfId="11342" xr:uid="{5DFC3FF6-81B7-466C-905E-1DDAEF198782}"/>
    <cellStyle name="40% - Accent4 2 3 6" xfId="2340" xr:uid="{00000000-0005-0000-0000-0000DC050000}"/>
    <cellStyle name="40% - Accent4 2 3 6 2" xfId="6646" xr:uid="{00000000-0005-0000-0000-0000DD050000}"/>
    <cellStyle name="40% - Accent4 2 3 6 2 2" xfId="15972" xr:uid="{13104EA2-EAA7-4991-B2EE-2797072DF368}"/>
    <cellStyle name="40% - Accent4 2 3 6 3" xfId="11755" xr:uid="{A10AEA84-0EF1-4A27-8E41-4B423966122C}"/>
    <cellStyle name="40% - Accent4 2 3 7" xfId="4580" xr:uid="{00000000-0005-0000-0000-0000DE050000}"/>
    <cellStyle name="40% - Accent4 2 3 7 2" xfId="13906" xr:uid="{D2CCF6E4-6D41-42B5-8A39-6A6F360CA766}"/>
    <cellStyle name="40% - Accent4 2 3 8" xfId="9008" xr:uid="{270F4CAB-C86F-4D9D-804F-69497913908B}"/>
    <cellStyle name="40% - Accent4 2 3 9" xfId="9689" xr:uid="{3713FCFA-95AD-4A49-960F-4FC72185BFB4}"/>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33D442C6-DCD0-4C6C-8014-5217B706B414}"/>
    <cellStyle name="40% - Accent4 2 4 2 3" xfId="12245" xr:uid="{FFF268E9-4925-481A-9492-8791EF23993C}"/>
    <cellStyle name="40% - Accent4 2 4 3" xfId="4991" xr:uid="{00000000-0005-0000-0000-0000E2050000}"/>
    <cellStyle name="40% - Accent4 2 4 3 2" xfId="14317" xr:uid="{28FB710B-2595-4DC2-B6EC-4DF4D3059476}"/>
    <cellStyle name="40% - Accent4 2 4 4" xfId="9225" xr:uid="{40EEB981-54C4-40E4-A2F9-BCD479248D23}"/>
    <cellStyle name="40% - Accent4 2 4 5" xfId="10100" xr:uid="{D7570002-6C30-4017-9D1F-4D1B3AD7AFD3}"/>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6DA822F3-D08B-443A-9538-436AE5A6914E}"/>
    <cellStyle name="40% - Accent4 2 5 2 3" xfId="12658" xr:uid="{C9359B6D-6ACE-4905-AB72-38928C119DAF}"/>
    <cellStyle name="40% - Accent4 2 5 3" xfId="5404" xr:uid="{00000000-0005-0000-0000-0000E6050000}"/>
    <cellStyle name="40% - Accent4 2 5 3 2" xfId="14730" xr:uid="{9C838889-299A-4D74-B23E-F39CEE6CB6BD}"/>
    <cellStyle name="40% - Accent4 2 5 4" xfId="10513" xr:uid="{1619AD2F-54AA-47B2-985E-EEE90D14825B}"/>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89D4129E-DB54-489C-9A59-6128CFE28288}"/>
    <cellStyle name="40% - Accent4 2 6 2 3" xfId="13071" xr:uid="{3871CBBD-091A-41BE-8717-CB8EA00FC4FE}"/>
    <cellStyle name="40% - Accent4 2 6 3" xfId="5817" xr:uid="{00000000-0005-0000-0000-0000EA050000}"/>
    <cellStyle name="40% - Accent4 2 6 3 2" xfId="15143" xr:uid="{74BDFA22-B056-4409-B29A-5771CAC261EB}"/>
    <cellStyle name="40% - Accent4 2 6 4" xfId="10926" xr:uid="{5591E8CA-AC38-4CAD-9FAD-E63A4B484F77}"/>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198FBDAE-CE89-4CBD-8038-4BD245C1A193}"/>
    <cellStyle name="40% - Accent4 2 7 2 3" xfId="13484" xr:uid="{ECE9F9AF-E976-463B-9D96-3A3C4F99FC0D}"/>
    <cellStyle name="40% - Accent4 2 7 3" xfId="6230" xr:uid="{00000000-0005-0000-0000-0000EE050000}"/>
    <cellStyle name="40% - Accent4 2 7 3 2" xfId="15556" xr:uid="{FF865A6D-77E4-409F-8A80-70A30ABCC8C5}"/>
    <cellStyle name="40% - Accent4 2 7 4" xfId="11339" xr:uid="{795F3C00-FC04-4374-820B-C1D9968807EC}"/>
    <cellStyle name="40% - Accent4 2 8" xfId="2337" xr:uid="{00000000-0005-0000-0000-0000EF050000}"/>
    <cellStyle name="40% - Accent4 2 8 2" xfId="6643" xr:uid="{00000000-0005-0000-0000-0000F0050000}"/>
    <cellStyle name="40% - Accent4 2 8 2 2" xfId="15969" xr:uid="{ACF25313-A503-4CAC-8B73-A90C67D59E6A}"/>
    <cellStyle name="40% - Accent4 2 8 3" xfId="11752" xr:uid="{CDD40385-0385-4D9C-9081-7042643F7B72}"/>
    <cellStyle name="40% - Accent4 2 9" xfId="4577" xr:uid="{00000000-0005-0000-0000-0000F1050000}"/>
    <cellStyle name="40% - Accent4 2 9 2" xfId="13903" xr:uid="{7C2164B7-24CF-47CC-890E-124E1FEFF21B}"/>
    <cellStyle name="40% - Accent4 3" xfId="78" xr:uid="{00000000-0005-0000-0000-0000F2050000}"/>
    <cellStyle name="40% - Accent4 3 10" xfId="9690" xr:uid="{B1A58571-A16C-4594-A48C-964BD22508ED}"/>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A455B803-3116-4DB3-A79B-41E5D3E45A6B}"/>
    <cellStyle name="40% - Accent4 3 2 2 2 3" xfId="12250" xr:uid="{A54BEB84-5DC2-4E67-A7A1-2A8629AC086F}"/>
    <cellStyle name="40% - Accent4 3 2 2 3" xfId="4996" xr:uid="{00000000-0005-0000-0000-0000F7050000}"/>
    <cellStyle name="40% - Accent4 3 2 2 3 2" xfId="14322" xr:uid="{C50ABDB3-1005-4782-9151-19CC7482764E}"/>
    <cellStyle name="40% - Accent4 3 2 2 4" xfId="9500" xr:uid="{EAAAC99F-A3A1-40FB-B78D-6862EF121B7A}"/>
    <cellStyle name="40% - Accent4 3 2 2 5" xfId="10105" xr:uid="{B9405BEA-02DF-4AE6-8EA0-B8E5CE233658}"/>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E38537B5-6F1D-4333-B746-A22AE2E7F60F}"/>
    <cellStyle name="40% - Accent4 3 2 3 2 3" xfId="12663" xr:uid="{B92EB548-D129-46DC-877F-222B86E0A46D}"/>
    <cellStyle name="40% - Accent4 3 2 3 3" xfId="5409" xr:uid="{00000000-0005-0000-0000-0000FB050000}"/>
    <cellStyle name="40% - Accent4 3 2 3 3 2" xfId="14735" xr:uid="{6C35D151-CFA5-40DE-80EB-FC12E8BACB4A}"/>
    <cellStyle name="40% - Accent4 3 2 3 4" xfId="10518" xr:uid="{2EB2C045-3BBC-4D00-A9C6-C527EFE39360}"/>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A913A871-0DC9-4A0D-80DF-0CA43C170087}"/>
    <cellStyle name="40% - Accent4 3 2 4 2 3" xfId="13076" xr:uid="{E8BB9967-454C-4EF5-A1C3-B0C0DF646662}"/>
    <cellStyle name="40% - Accent4 3 2 4 3" xfId="5822" xr:uid="{00000000-0005-0000-0000-0000FF050000}"/>
    <cellStyle name="40% - Accent4 3 2 4 3 2" xfId="15148" xr:uid="{75EC2997-4C54-4EDA-8665-C3DFC50000D3}"/>
    <cellStyle name="40% - Accent4 3 2 4 4" xfId="10931" xr:uid="{A032EA31-98A7-41DC-9DFE-56C67F06DFD4}"/>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17FA7569-A098-4C96-A07B-31718088B99B}"/>
    <cellStyle name="40% - Accent4 3 2 5 2 3" xfId="13489" xr:uid="{63E54DAF-9F91-41F6-98F3-F810AFE48E49}"/>
    <cellStyle name="40% - Accent4 3 2 5 3" xfId="6235" xr:uid="{00000000-0005-0000-0000-000003060000}"/>
    <cellStyle name="40% - Accent4 3 2 5 3 2" xfId="15561" xr:uid="{B1F8EBA8-7867-4205-9C45-E2DDB9FB91E5}"/>
    <cellStyle name="40% - Accent4 3 2 5 4" xfId="11344" xr:uid="{A3E085A6-03C0-4E69-9EAC-95CA990F2312}"/>
    <cellStyle name="40% - Accent4 3 2 6" xfId="2342" xr:uid="{00000000-0005-0000-0000-000004060000}"/>
    <cellStyle name="40% - Accent4 3 2 6 2" xfId="6648" xr:uid="{00000000-0005-0000-0000-000005060000}"/>
    <cellStyle name="40% - Accent4 3 2 6 2 2" xfId="15974" xr:uid="{0EEAC293-F38F-42DB-806B-0C9D02DDCDCE}"/>
    <cellStyle name="40% - Accent4 3 2 6 3" xfId="11757" xr:uid="{77EBD34B-573F-43E8-89BC-4EE0F70E6C82}"/>
    <cellStyle name="40% - Accent4 3 2 7" xfId="4582" xr:uid="{00000000-0005-0000-0000-000006060000}"/>
    <cellStyle name="40% - Accent4 3 2 7 2" xfId="13908" xr:uid="{92F0E35C-B9FE-41D9-8E83-412DFD1B3B57}"/>
    <cellStyle name="40% - Accent4 3 2 8" xfId="9075" xr:uid="{6C51FF47-5618-4E1E-BC97-01FFF287A6C3}"/>
    <cellStyle name="40% - Accent4 3 2 9" xfId="9691" xr:uid="{FD92BF3D-5DAB-408A-93FA-2E0DFC7157E2}"/>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EC7496BE-582D-469B-BE02-E49D19D932FD}"/>
    <cellStyle name="40% - Accent4 3 3 2 3" xfId="12249" xr:uid="{806AF999-66F3-4EE3-AD5A-787666CCFE7D}"/>
    <cellStyle name="40% - Accent4 3 3 3" xfId="4995" xr:uid="{00000000-0005-0000-0000-00000A060000}"/>
    <cellStyle name="40% - Accent4 3 3 3 2" xfId="14321" xr:uid="{AC3B150C-47E4-42B9-A514-43EA9A20DEDC}"/>
    <cellStyle name="40% - Accent4 3 3 4" xfId="9293" xr:uid="{4A28D7F5-3617-45DC-A350-6C6596CDA765}"/>
    <cellStyle name="40% - Accent4 3 3 5" xfId="10104" xr:uid="{C89C561A-F6B9-4997-8718-FEFBA5FEEAAB}"/>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3720D6CD-5E13-46CC-9D7E-F85F5E213A69}"/>
    <cellStyle name="40% - Accent4 3 4 2 3" xfId="12662" xr:uid="{25DD3659-B996-431D-8C7C-8802D498DE6E}"/>
    <cellStyle name="40% - Accent4 3 4 3" xfId="5408" xr:uid="{00000000-0005-0000-0000-00000E060000}"/>
    <cellStyle name="40% - Accent4 3 4 3 2" xfId="14734" xr:uid="{51C275B1-B925-4119-BC45-D5C4A122946C}"/>
    <cellStyle name="40% - Accent4 3 4 4" xfId="10517" xr:uid="{ABD7C591-D551-4AA7-86A1-33E13239FF9C}"/>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F6227DC8-51E6-4F70-9737-817B16D274F1}"/>
    <cellStyle name="40% - Accent4 3 5 2 3" xfId="13075" xr:uid="{10427914-7576-418D-8992-15A9281D9ED6}"/>
    <cellStyle name="40% - Accent4 3 5 3" xfId="5821" xr:uid="{00000000-0005-0000-0000-000012060000}"/>
    <cellStyle name="40% - Accent4 3 5 3 2" xfId="15147" xr:uid="{0B174BB7-BA83-4739-AED0-474BCE6023CF}"/>
    <cellStyle name="40% - Accent4 3 5 4" xfId="10930" xr:uid="{F0C2A724-49C5-4AF7-AB8C-B6D40D1C25D3}"/>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3D60F03D-CA93-4835-B3E0-D26E1C98510B}"/>
    <cellStyle name="40% - Accent4 3 6 2 3" xfId="13488" xr:uid="{7B1788B0-CC1F-482B-941F-8B6252DDD3E8}"/>
    <cellStyle name="40% - Accent4 3 6 3" xfId="6234" xr:uid="{00000000-0005-0000-0000-000016060000}"/>
    <cellStyle name="40% - Accent4 3 6 3 2" xfId="15560" xr:uid="{61B0CD61-3C53-40A6-BE63-910EC049F5ED}"/>
    <cellStyle name="40% - Accent4 3 6 4" xfId="11343" xr:uid="{570BE204-DDD2-4A6F-A9FD-13A028FA5254}"/>
    <cellStyle name="40% - Accent4 3 7" xfId="2341" xr:uid="{00000000-0005-0000-0000-000017060000}"/>
    <cellStyle name="40% - Accent4 3 7 2" xfId="6647" xr:uid="{00000000-0005-0000-0000-000018060000}"/>
    <cellStyle name="40% - Accent4 3 7 2 2" xfId="15973" xr:uid="{426040CD-ADB9-45F5-907B-543375D5D7CB}"/>
    <cellStyle name="40% - Accent4 3 7 3" xfId="11756" xr:uid="{FCA4FC44-86CC-4D90-8A7B-6F5111A965A4}"/>
    <cellStyle name="40% - Accent4 3 8" xfId="4581" xr:uid="{00000000-0005-0000-0000-000019060000}"/>
    <cellStyle name="40% - Accent4 3 8 2" xfId="13907" xr:uid="{1654382F-CDAF-4D27-AA7A-62E41F25B5F9}"/>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8AA66B95-FD4D-4556-BC36-18C05ADE8505}"/>
    <cellStyle name="40% - Accent4 4 2 2 3" xfId="12251" xr:uid="{32B47B73-2FFE-431A-A2BB-95867E630921}"/>
    <cellStyle name="40% - Accent4 4 2 3" xfId="4997" xr:uid="{00000000-0005-0000-0000-00001E060000}"/>
    <cellStyle name="40% - Accent4 4 2 3 2" xfId="14323" xr:uid="{79903F6D-736E-472B-B6A5-2E34882CA1E5}"/>
    <cellStyle name="40% - Accent4 4 2 4" xfId="9379" xr:uid="{EE31EAE0-1741-4D6E-B7B4-C5DB59044F55}"/>
    <cellStyle name="40% - Accent4 4 2 5" xfId="10106" xr:uid="{90BAA38F-0DCA-40A3-9332-15DBBB5C6EFF}"/>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C64A60DB-1F0A-463F-BC5B-BD8B2938465A}"/>
    <cellStyle name="40% - Accent4 4 3 2 3" xfId="12664" xr:uid="{F6C339FF-8CB5-4F10-B802-9152FB851439}"/>
    <cellStyle name="40% - Accent4 4 3 3" xfId="5410" xr:uid="{00000000-0005-0000-0000-000022060000}"/>
    <cellStyle name="40% - Accent4 4 3 3 2" xfId="14736" xr:uid="{33F3A714-92E9-461B-96CE-FF6197B13629}"/>
    <cellStyle name="40% - Accent4 4 3 4" xfId="10519" xr:uid="{7D8C44C8-619D-443B-9117-0DF949E52332}"/>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09B5352D-1266-49DA-BB1A-ED98AAF4AA55}"/>
    <cellStyle name="40% - Accent4 4 4 2 3" xfId="13077" xr:uid="{FCB7F2E2-F371-4CB6-8480-50D83E006BB2}"/>
    <cellStyle name="40% - Accent4 4 4 3" xfId="5823" xr:uid="{00000000-0005-0000-0000-000026060000}"/>
    <cellStyle name="40% - Accent4 4 4 3 2" xfId="15149" xr:uid="{366281D5-A7E1-4621-B5AA-E07F5067924E}"/>
    <cellStyle name="40% - Accent4 4 4 4" xfId="10932" xr:uid="{1A07647C-807A-4E32-ABF8-33ACBADDA709}"/>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FAD56CD2-55EA-429F-ADA5-B3D18CBA4DAD}"/>
    <cellStyle name="40% - Accent4 4 5 2 3" xfId="13490" xr:uid="{005DC78D-4917-4A1F-862C-26551D19020F}"/>
    <cellStyle name="40% - Accent4 4 5 3" xfId="6236" xr:uid="{00000000-0005-0000-0000-00002A060000}"/>
    <cellStyle name="40% - Accent4 4 5 3 2" xfId="15562" xr:uid="{EA146362-3C00-4CA3-A3AC-F7083778DF2B}"/>
    <cellStyle name="40% - Accent4 4 5 4" xfId="11345" xr:uid="{47F19E98-DF6E-4454-951B-D462E80AF4E1}"/>
    <cellStyle name="40% - Accent4 4 6" xfId="2343" xr:uid="{00000000-0005-0000-0000-00002B060000}"/>
    <cellStyle name="40% - Accent4 4 6 2" xfId="6649" xr:uid="{00000000-0005-0000-0000-00002C060000}"/>
    <cellStyle name="40% - Accent4 4 6 2 2" xfId="15975" xr:uid="{EDD14A03-EFF1-4BD9-BAF0-30F3283A3657}"/>
    <cellStyle name="40% - Accent4 4 6 3" xfId="11758" xr:uid="{C0286F8F-5B63-45E8-AA14-990A311FE807}"/>
    <cellStyle name="40% - Accent4 4 7" xfId="4583" xr:uid="{00000000-0005-0000-0000-00002D060000}"/>
    <cellStyle name="40% - Accent4 4 7 2" xfId="13909" xr:uid="{2870FF91-85C2-4ED3-BB9C-0322F42E560A}"/>
    <cellStyle name="40% - Accent4 4 8" xfId="8954" xr:uid="{2C178683-58B3-4513-85E7-15FAC3AC035D}"/>
    <cellStyle name="40% - Accent4 4 9" xfId="9692" xr:uid="{856D60F3-47DB-4715-B2ED-DBFC51C21F9E}"/>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DB76D057-6A16-4257-8849-B413B2D8F2B5}"/>
    <cellStyle name="40% - Accent4 5 2 3" xfId="12244" xr:uid="{FCBB4F63-7564-404A-8BFA-E462B093DF3E}"/>
    <cellStyle name="40% - Accent4 5 3" xfId="4990" xr:uid="{00000000-0005-0000-0000-000031060000}"/>
    <cellStyle name="40% - Accent4 5 3 2" xfId="14316" xr:uid="{812AB142-5C1E-4542-BCDA-C525925E4B7A}"/>
    <cellStyle name="40% - Accent4 5 4" xfId="9187" xr:uid="{33022C89-0CDD-4091-8005-358F63FF8F46}"/>
    <cellStyle name="40% - Accent4 5 5" xfId="10099" xr:uid="{2339343A-1435-4274-ACCE-D70BA71E50E3}"/>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41B8B8B7-9E43-4A24-AA84-A392AA583659}"/>
    <cellStyle name="40% - Accent4 6 2 3" xfId="12657" xr:uid="{4A78032D-262E-47C2-8AFB-AC2A22ACFFE5}"/>
    <cellStyle name="40% - Accent4 6 3" xfId="5403" xr:uid="{00000000-0005-0000-0000-000035060000}"/>
    <cellStyle name="40% - Accent4 6 3 2" xfId="14729" xr:uid="{96DF0188-B8ED-47DD-A4C4-B7DAC58F954B}"/>
    <cellStyle name="40% - Accent4 6 4" xfId="10512" xr:uid="{4A743607-855A-4D33-8EB5-D90B93BB7EE6}"/>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7E86D65C-E2B9-4473-BE6F-7DD1F23CB567}"/>
    <cellStyle name="40% - Accent4 7 2 3" xfId="13070" xr:uid="{42171232-11C4-4C99-A9E0-C1A706137DBD}"/>
    <cellStyle name="40% - Accent4 7 3" xfId="5816" xr:uid="{00000000-0005-0000-0000-000039060000}"/>
    <cellStyle name="40% - Accent4 7 3 2" xfId="15142" xr:uid="{8CA27BA9-3C95-4449-B09C-C9003F97F7BD}"/>
    <cellStyle name="40% - Accent4 7 4" xfId="10925" xr:uid="{5BBDBDF4-B1F1-4FB4-952D-5CE9570F7F2A}"/>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348C75A1-CA0D-4ADB-9B11-C6D0949FD236}"/>
    <cellStyle name="40% - Accent4 8 2 3" xfId="13483" xr:uid="{54C7884C-5EC2-473D-A2A4-B788B556B200}"/>
    <cellStyle name="40% - Accent4 8 3" xfId="6229" xr:uid="{00000000-0005-0000-0000-00003D060000}"/>
    <cellStyle name="40% - Accent4 8 3 2" xfId="15555" xr:uid="{5AAFF0CE-8721-4AC9-A351-D7AC9FE1B179}"/>
    <cellStyle name="40% - Accent4 8 4" xfId="11338" xr:uid="{08E88EB9-A763-43E2-BAFE-8FAB0AF94D6E}"/>
    <cellStyle name="40% - Accent4 9" xfId="2336" xr:uid="{00000000-0005-0000-0000-00003E060000}"/>
    <cellStyle name="40% - Accent4 9 2" xfId="6642" xr:uid="{00000000-0005-0000-0000-00003F060000}"/>
    <cellStyle name="40% - Accent4 9 2 2" xfId="15968" xr:uid="{127CCE5D-700E-4526-9F7C-5068D847BD8F}"/>
    <cellStyle name="40% - Accent4 9 3" xfId="11751" xr:uid="{BB9058A7-80EA-4F7B-882A-66B4D71B6E94}"/>
    <cellStyle name="40% - Accent5" xfId="81" builtinId="47" customBuiltin="1"/>
    <cellStyle name="40% - Accent5 10" xfId="4584" xr:uid="{00000000-0005-0000-0000-000041060000}"/>
    <cellStyle name="40% - Accent5 10 2" xfId="13910" xr:uid="{EB27B130-C646-4756-8E15-F3AF8121FE02}"/>
    <cellStyle name="40% - Accent5 11" xfId="8767" xr:uid="{7A46ADF8-3420-4D4A-A3FE-8E96F0FA38E7}"/>
    <cellStyle name="40% - Accent5 12" xfId="9693" xr:uid="{5AFA8098-7046-459E-9D26-9AD17EC59780}"/>
    <cellStyle name="40% - Accent5 2" xfId="82" xr:uid="{00000000-0005-0000-0000-000042060000}"/>
    <cellStyle name="40% - Accent5 2 10" xfId="8802" xr:uid="{CF9BFF45-99AC-47A3-8B01-051C55FBB24D}"/>
    <cellStyle name="40% - Accent5 2 11" xfId="9694" xr:uid="{2FC89DA9-0960-482E-ADC8-0EC028862D53}"/>
    <cellStyle name="40% - Accent5 2 2" xfId="83" xr:uid="{00000000-0005-0000-0000-000043060000}"/>
    <cellStyle name="40% - Accent5 2 2 10" xfId="9695" xr:uid="{7E60984B-6FF3-4E6F-BBAB-E5BCA8BFED5D}"/>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40357EC7-B64C-49C0-8B94-D8555AD95B1E}"/>
    <cellStyle name="40% - Accent5 2 2 2 2 2 3" xfId="12255" xr:uid="{4B85A274-37C1-4BEF-94B4-D93F160E363B}"/>
    <cellStyle name="40% - Accent5 2 2 2 2 3" xfId="5001" xr:uid="{00000000-0005-0000-0000-000048060000}"/>
    <cellStyle name="40% - Accent5 2 2 2 2 3 2" xfId="14327" xr:uid="{0D24DFA5-C459-4E64-A4E7-6932FFC295BC}"/>
    <cellStyle name="40% - Accent5 2 2 2 2 4" xfId="9537" xr:uid="{83834145-5D3F-4083-A609-6DB90651C4CE}"/>
    <cellStyle name="40% - Accent5 2 2 2 2 5" xfId="10110" xr:uid="{DB29C297-4787-499B-A954-0A6A6314BC2C}"/>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B4823B30-F7B0-478D-A464-42F9FE2479E9}"/>
    <cellStyle name="40% - Accent5 2 2 2 3 2 3" xfId="12668" xr:uid="{72E69BEC-391F-426E-A59C-5397339C8700}"/>
    <cellStyle name="40% - Accent5 2 2 2 3 3" xfId="5414" xr:uid="{00000000-0005-0000-0000-00004C060000}"/>
    <cellStyle name="40% - Accent5 2 2 2 3 3 2" xfId="14740" xr:uid="{76D58F0A-A5A2-42DC-85BD-E5BB4E7C57A8}"/>
    <cellStyle name="40% - Accent5 2 2 2 3 4" xfId="10523" xr:uid="{C3FC28BD-DE8C-4145-9D9E-A783A3E824A6}"/>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921CD379-40D3-408D-A9A4-E3651EAD4493}"/>
    <cellStyle name="40% - Accent5 2 2 2 4 2 3" xfId="13081" xr:uid="{90067D78-7C6B-4CFC-BDD2-C0F54081133E}"/>
    <cellStyle name="40% - Accent5 2 2 2 4 3" xfId="5827" xr:uid="{00000000-0005-0000-0000-000050060000}"/>
    <cellStyle name="40% - Accent5 2 2 2 4 3 2" xfId="15153" xr:uid="{2E16B21D-7FE7-49AF-B7B1-D533B9BE5110}"/>
    <cellStyle name="40% - Accent5 2 2 2 4 4" xfId="10936" xr:uid="{C62549A0-08C6-439F-8574-92BB2EDE3895}"/>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CBFA7EB2-0A0D-4153-97F2-6609C30DEF60}"/>
    <cellStyle name="40% - Accent5 2 2 2 5 2 3" xfId="13494" xr:uid="{A2C5A204-BD12-4699-9987-8D1C4E8E4B83}"/>
    <cellStyle name="40% - Accent5 2 2 2 5 3" xfId="6240" xr:uid="{00000000-0005-0000-0000-000054060000}"/>
    <cellStyle name="40% - Accent5 2 2 2 5 3 2" xfId="15566" xr:uid="{B821C40A-2EC7-4468-BA2D-59F17B265759}"/>
    <cellStyle name="40% - Accent5 2 2 2 5 4" xfId="11349" xr:uid="{962B4CAD-EF9F-40A8-A0CC-E900C3BD883A}"/>
    <cellStyle name="40% - Accent5 2 2 2 6" xfId="2347" xr:uid="{00000000-0005-0000-0000-000055060000}"/>
    <cellStyle name="40% - Accent5 2 2 2 6 2" xfId="6653" xr:uid="{00000000-0005-0000-0000-000056060000}"/>
    <cellStyle name="40% - Accent5 2 2 2 6 2 2" xfId="15979" xr:uid="{632EA78A-020F-4608-921E-7121F942B4CA}"/>
    <cellStyle name="40% - Accent5 2 2 2 6 3" xfId="11762" xr:uid="{9B67AE7B-34AF-41AE-A896-ED29ADEFBFE8}"/>
    <cellStyle name="40% - Accent5 2 2 2 7" xfId="4587" xr:uid="{00000000-0005-0000-0000-000057060000}"/>
    <cellStyle name="40% - Accent5 2 2 2 7 2" xfId="13913" xr:uid="{725E2572-457D-473B-99C6-31994E928841}"/>
    <cellStyle name="40% - Accent5 2 2 2 8" xfId="9112" xr:uid="{65D0CC40-E9D0-4CE3-B684-8DE4A2C7BCD7}"/>
    <cellStyle name="40% - Accent5 2 2 2 9" xfId="9696" xr:uid="{3078700A-A668-443E-8C61-A7B92A3D6A07}"/>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77F8F415-A4FC-4C5E-8C9C-ED36244CF2C5}"/>
    <cellStyle name="40% - Accent5 2 2 3 2 3" xfId="12254" xr:uid="{8BA2D08E-783D-4040-8E53-0BD359867469}"/>
    <cellStyle name="40% - Accent5 2 2 3 3" xfId="5000" xr:uid="{00000000-0005-0000-0000-00005B060000}"/>
    <cellStyle name="40% - Accent5 2 2 3 3 2" xfId="14326" xr:uid="{BEAF7BEF-BD5E-4D30-8829-8196B2347717}"/>
    <cellStyle name="40% - Accent5 2 2 3 4" xfId="9330" xr:uid="{75959B30-FD84-42A5-95AE-69048CCC8361}"/>
    <cellStyle name="40% - Accent5 2 2 3 5" xfId="10109" xr:uid="{43D2CADA-464A-49CB-9009-5188E60F5F9F}"/>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0BD9F157-1407-44AF-A470-51018B5BABB1}"/>
    <cellStyle name="40% - Accent5 2 2 4 2 3" xfId="12667" xr:uid="{E09186D7-07CD-4E05-89D8-372B91ECE41B}"/>
    <cellStyle name="40% - Accent5 2 2 4 3" xfId="5413" xr:uid="{00000000-0005-0000-0000-00005F060000}"/>
    <cellStyle name="40% - Accent5 2 2 4 3 2" xfId="14739" xr:uid="{79AA7DC2-D93B-4A28-B83C-04D8FCF10557}"/>
    <cellStyle name="40% - Accent5 2 2 4 4" xfId="10522" xr:uid="{39954966-8FE1-4EEB-92D3-02BEA59B382F}"/>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1AE27F20-2786-4E36-97F4-44068B46611A}"/>
    <cellStyle name="40% - Accent5 2 2 5 2 3" xfId="13080" xr:uid="{5D98EFB2-1190-4D62-AD50-4A8E442D790B}"/>
    <cellStyle name="40% - Accent5 2 2 5 3" xfId="5826" xr:uid="{00000000-0005-0000-0000-000063060000}"/>
    <cellStyle name="40% - Accent5 2 2 5 3 2" xfId="15152" xr:uid="{037CADC8-BB3E-43BF-94E1-58AFDEB4AF11}"/>
    <cellStyle name="40% - Accent5 2 2 5 4" xfId="10935" xr:uid="{DCE0E484-62A3-4431-91D0-A0A75F3DA0C8}"/>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A097730E-A17A-402D-A3E7-AC680F87E6A8}"/>
    <cellStyle name="40% - Accent5 2 2 6 2 3" xfId="13493" xr:uid="{8E4278AC-A9F4-4D22-90EE-BCE666F78A80}"/>
    <cellStyle name="40% - Accent5 2 2 6 3" xfId="6239" xr:uid="{00000000-0005-0000-0000-000067060000}"/>
    <cellStyle name="40% - Accent5 2 2 6 3 2" xfId="15565" xr:uid="{AA538C30-9AFB-4C0C-A1AC-17344FAE88EB}"/>
    <cellStyle name="40% - Accent5 2 2 6 4" xfId="11348" xr:uid="{53885F94-CB32-44E0-A5FF-7CEC57DC6192}"/>
    <cellStyle name="40% - Accent5 2 2 7" xfId="2346" xr:uid="{00000000-0005-0000-0000-000068060000}"/>
    <cellStyle name="40% - Accent5 2 2 7 2" xfId="6652" xr:uid="{00000000-0005-0000-0000-000069060000}"/>
    <cellStyle name="40% - Accent5 2 2 7 2 2" xfId="15978" xr:uid="{9FFDB495-7320-4A09-B411-E55EB4C61B87}"/>
    <cellStyle name="40% - Accent5 2 2 7 3" xfId="11761" xr:uid="{0A7F62D1-A94A-43C2-9FE3-F567DC55D649}"/>
    <cellStyle name="40% - Accent5 2 2 8" xfId="4586" xr:uid="{00000000-0005-0000-0000-00006A060000}"/>
    <cellStyle name="40% - Accent5 2 2 8 2" xfId="13912" xr:uid="{7246F32D-4D0C-4951-9EAC-BD2E4A573792}"/>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C20F9A9E-A9BC-4F0A-BDF5-AF46FC45FD56}"/>
    <cellStyle name="40% - Accent5 2 3 2 2 3" xfId="12256" xr:uid="{E82A2547-9A1F-4D94-8387-3D70B29A6F34}"/>
    <cellStyle name="40% - Accent5 2 3 2 3" xfId="5002" xr:uid="{00000000-0005-0000-0000-00006F060000}"/>
    <cellStyle name="40% - Accent5 2 3 2 3 2" xfId="14328" xr:uid="{412A9D80-2465-4E49-B3F7-1C534EE66B07}"/>
    <cellStyle name="40% - Accent5 2 3 2 4" xfId="9434" xr:uid="{512EAA64-F150-4B15-8534-EB34D6D41408}"/>
    <cellStyle name="40% - Accent5 2 3 2 5" xfId="10111" xr:uid="{9A3D1F93-AD63-4918-A374-A07AC2FC6CCC}"/>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E08AB27F-A03D-436F-86CF-55AC0C3BDAE2}"/>
    <cellStyle name="40% - Accent5 2 3 3 2 3" xfId="12669" xr:uid="{B8C0C8E7-199A-4F8F-98B8-B9C7C53660E4}"/>
    <cellStyle name="40% - Accent5 2 3 3 3" xfId="5415" xr:uid="{00000000-0005-0000-0000-000073060000}"/>
    <cellStyle name="40% - Accent5 2 3 3 3 2" xfId="14741" xr:uid="{4D66BCD7-D7A4-4BCF-BE38-3E82F8F7D7DE}"/>
    <cellStyle name="40% - Accent5 2 3 3 4" xfId="10524" xr:uid="{4B70CDEE-63E1-41E3-8591-857FEDA7619C}"/>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195AAAF6-C2BE-4802-9110-E3A6F2898A60}"/>
    <cellStyle name="40% - Accent5 2 3 4 2 3" xfId="13082" xr:uid="{2A5AACA4-D8B1-4B16-9B87-16DFCD4975AA}"/>
    <cellStyle name="40% - Accent5 2 3 4 3" xfId="5828" xr:uid="{00000000-0005-0000-0000-000077060000}"/>
    <cellStyle name="40% - Accent5 2 3 4 3 2" xfId="15154" xr:uid="{E6D163C2-22A4-4CFA-B695-85255CA14A54}"/>
    <cellStyle name="40% - Accent5 2 3 4 4" xfId="10937" xr:uid="{EA9DFEE0-4C91-409E-980E-A2C6AFB95D6E}"/>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377701D1-7E68-4EFB-8136-193B1BCFF39F}"/>
    <cellStyle name="40% - Accent5 2 3 5 2 3" xfId="13495" xr:uid="{F630CF5F-FC60-4233-90A8-CBEADBB05F29}"/>
    <cellStyle name="40% - Accent5 2 3 5 3" xfId="6241" xr:uid="{00000000-0005-0000-0000-00007B060000}"/>
    <cellStyle name="40% - Accent5 2 3 5 3 2" xfId="15567" xr:uid="{BF3F1680-C266-4747-AE99-BAE699ADC23C}"/>
    <cellStyle name="40% - Accent5 2 3 5 4" xfId="11350" xr:uid="{912FA0C0-94B2-49B6-B6D0-E853E1B9CEA2}"/>
    <cellStyle name="40% - Accent5 2 3 6" xfId="2348" xr:uid="{00000000-0005-0000-0000-00007C060000}"/>
    <cellStyle name="40% - Accent5 2 3 6 2" xfId="6654" xr:uid="{00000000-0005-0000-0000-00007D060000}"/>
    <cellStyle name="40% - Accent5 2 3 6 2 2" xfId="15980" xr:uid="{79958FB6-950A-44BB-9726-BE45E58B3925}"/>
    <cellStyle name="40% - Accent5 2 3 6 3" xfId="11763" xr:uid="{27B503C6-4DAF-4E21-B00A-2B1D6ADE9656}"/>
    <cellStyle name="40% - Accent5 2 3 7" xfId="4588" xr:uid="{00000000-0005-0000-0000-00007E060000}"/>
    <cellStyle name="40% - Accent5 2 3 7 2" xfId="13914" xr:uid="{E233F0BF-A3CD-4609-B6EB-74B5DD8657B4}"/>
    <cellStyle name="40% - Accent5 2 3 8" xfId="9009" xr:uid="{DE8B6E41-761F-4ED0-BA8A-00A6A898A2FC}"/>
    <cellStyle name="40% - Accent5 2 3 9" xfId="9697" xr:uid="{3816724F-63AE-4776-8367-C9E4E0BC5223}"/>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ECF72A96-6F45-48B4-A21F-F562CABC553C}"/>
    <cellStyle name="40% - Accent5 2 4 2 3" xfId="12253" xr:uid="{5CDCD3FD-12DB-480E-B34F-17E9F627BEB0}"/>
    <cellStyle name="40% - Accent5 2 4 3" xfId="4999" xr:uid="{00000000-0005-0000-0000-000082060000}"/>
    <cellStyle name="40% - Accent5 2 4 3 2" xfId="14325" xr:uid="{E1D96C20-E936-40A5-B51E-3C309B3610C3}"/>
    <cellStyle name="40% - Accent5 2 4 4" xfId="9226" xr:uid="{6A688709-D29B-458C-973B-231279FAFEF5}"/>
    <cellStyle name="40% - Accent5 2 4 5" xfId="10108" xr:uid="{63E8DF8D-3043-4AF2-87EB-781698C45C0F}"/>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FF561987-119C-4442-8991-DAE3DBEBCD02}"/>
    <cellStyle name="40% - Accent5 2 5 2 3" xfId="12666" xr:uid="{F8550A86-AF95-4AE1-B58B-B3A5DA22B7AF}"/>
    <cellStyle name="40% - Accent5 2 5 3" xfId="5412" xr:uid="{00000000-0005-0000-0000-000086060000}"/>
    <cellStyle name="40% - Accent5 2 5 3 2" xfId="14738" xr:uid="{34D92A45-5B38-4C89-8701-C0BC3F24B6B7}"/>
    <cellStyle name="40% - Accent5 2 5 4" xfId="10521" xr:uid="{DBF17D2A-DA73-4AF4-84A8-2E6848C28F05}"/>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362A6D96-F689-419E-A63E-AAB6F1CC1794}"/>
    <cellStyle name="40% - Accent5 2 6 2 3" xfId="13079" xr:uid="{EC0EB1DA-6FE1-4F7D-A0BC-730194D764DC}"/>
    <cellStyle name="40% - Accent5 2 6 3" xfId="5825" xr:uid="{00000000-0005-0000-0000-00008A060000}"/>
    <cellStyle name="40% - Accent5 2 6 3 2" xfId="15151" xr:uid="{3E372764-ECCD-4C49-B798-E5239551B3E8}"/>
    <cellStyle name="40% - Accent5 2 6 4" xfId="10934" xr:uid="{D3A1E759-A8B5-4883-A33C-007EFF57A2A7}"/>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13ACDB60-D777-464E-A3A7-DFA0AA3CCB52}"/>
    <cellStyle name="40% - Accent5 2 7 2 3" xfId="13492" xr:uid="{94B03A59-0B0B-425A-9375-AE19B102187B}"/>
    <cellStyle name="40% - Accent5 2 7 3" xfId="6238" xr:uid="{00000000-0005-0000-0000-00008E060000}"/>
    <cellStyle name="40% - Accent5 2 7 3 2" xfId="15564" xr:uid="{F1E2373A-D4CB-48A2-8D28-090C1B105D79}"/>
    <cellStyle name="40% - Accent5 2 7 4" xfId="11347" xr:uid="{57DCAD68-C713-49C2-94DC-D85BF0EDD0D1}"/>
    <cellStyle name="40% - Accent5 2 8" xfId="2345" xr:uid="{00000000-0005-0000-0000-00008F060000}"/>
    <cellStyle name="40% - Accent5 2 8 2" xfId="6651" xr:uid="{00000000-0005-0000-0000-000090060000}"/>
    <cellStyle name="40% - Accent5 2 8 2 2" xfId="15977" xr:uid="{C9965D1A-5C31-4C78-A29C-3A1E9ADAE325}"/>
    <cellStyle name="40% - Accent5 2 8 3" xfId="11760" xr:uid="{BBCA232A-9AC5-4AE1-8127-2FCA6336868C}"/>
    <cellStyle name="40% - Accent5 2 9" xfId="4585" xr:uid="{00000000-0005-0000-0000-000091060000}"/>
    <cellStyle name="40% - Accent5 2 9 2" xfId="13911" xr:uid="{B5FC6ECE-CB7E-4D64-B82C-EBB0D10288F2}"/>
    <cellStyle name="40% - Accent5 3" xfId="86" xr:uid="{00000000-0005-0000-0000-000092060000}"/>
    <cellStyle name="40% - Accent5 3 10" xfId="9698" xr:uid="{5586603E-E762-4244-AE0E-2C20A70A5EC6}"/>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0521CC45-239C-42A4-970C-EC6F81612597}"/>
    <cellStyle name="40% - Accent5 3 2 2 2 3" xfId="12258" xr:uid="{EA87DFE2-73F7-46D2-AD7C-C51B44E9F4B6}"/>
    <cellStyle name="40% - Accent5 3 2 2 3" xfId="5004" xr:uid="{00000000-0005-0000-0000-000097060000}"/>
    <cellStyle name="40% - Accent5 3 2 2 3 2" xfId="14330" xr:uid="{5710ED9D-98D0-4967-8665-EBA0BB5967A0}"/>
    <cellStyle name="40% - Accent5 3 2 2 4" xfId="9502" xr:uid="{96903B0D-DCFE-4149-8088-461BCB03A73B}"/>
    <cellStyle name="40% - Accent5 3 2 2 5" xfId="10113" xr:uid="{67AC6094-64BB-481E-A230-6A299754854F}"/>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6B09AFB9-ED3A-466E-A402-9E980BA5C209}"/>
    <cellStyle name="40% - Accent5 3 2 3 2 3" xfId="12671" xr:uid="{11847E2E-CEB3-4F1C-AD41-2C5D8649C2F3}"/>
    <cellStyle name="40% - Accent5 3 2 3 3" xfId="5417" xr:uid="{00000000-0005-0000-0000-00009B060000}"/>
    <cellStyle name="40% - Accent5 3 2 3 3 2" xfId="14743" xr:uid="{6BD08835-DE82-462E-8F96-71A0FA93C026}"/>
    <cellStyle name="40% - Accent5 3 2 3 4" xfId="10526" xr:uid="{FC2A62FD-6EEA-4FA6-B10E-9982C0652E9B}"/>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42C19717-E8C5-489B-8C0F-84F89319E1EF}"/>
    <cellStyle name="40% - Accent5 3 2 4 2 3" xfId="13084" xr:uid="{91B92674-C9C9-4F13-BBE4-A3EE19561DBF}"/>
    <cellStyle name="40% - Accent5 3 2 4 3" xfId="5830" xr:uid="{00000000-0005-0000-0000-00009F060000}"/>
    <cellStyle name="40% - Accent5 3 2 4 3 2" xfId="15156" xr:uid="{17C7FE03-656E-45EE-9700-DA61C80B325B}"/>
    <cellStyle name="40% - Accent5 3 2 4 4" xfId="10939" xr:uid="{60C3218E-A7AD-4FA8-8BF1-36DC02EF9D3F}"/>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4E77D0AD-59E5-4045-9463-BDAE7968AE7F}"/>
    <cellStyle name="40% - Accent5 3 2 5 2 3" xfId="13497" xr:uid="{47731106-04F7-4051-928D-B0C074D879CB}"/>
    <cellStyle name="40% - Accent5 3 2 5 3" xfId="6243" xr:uid="{00000000-0005-0000-0000-0000A3060000}"/>
    <cellStyle name="40% - Accent5 3 2 5 3 2" xfId="15569" xr:uid="{A80166D8-6CD8-4285-A6CD-B6EC5261196B}"/>
    <cellStyle name="40% - Accent5 3 2 5 4" xfId="11352" xr:uid="{B6529DB6-6E0F-4E5A-AEAB-079B4845C549}"/>
    <cellStyle name="40% - Accent5 3 2 6" xfId="2350" xr:uid="{00000000-0005-0000-0000-0000A4060000}"/>
    <cellStyle name="40% - Accent5 3 2 6 2" xfId="6656" xr:uid="{00000000-0005-0000-0000-0000A5060000}"/>
    <cellStyle name="40% - Accent5 3 2 6 2 2" xfId="15982" xr:uid="{375544D5-E131-4963-92FC-F2E3E683CA2E}"/>
    <cellStyle name="40% - Accent5 3 2 6 3" xfId="11765" xr:uid="{F093BD33-FC27-4B92-B817-FE9D13C859F0}"/>
    <cellStyle name="40% - Accent5 3 2 7" xfId="4590" xr:uid="{00000000-0005-0000-0000-0000A6060000}"/>
    <cellStyle name="40% - Accent5 3 2 7 2" xfId="13916" xr:uid="{D0DA0EA5-82E5-4E48-B8BF-C46FB1707539}"/>
    <cellStyle name="40% - Accent5 3 2 8" xfId="9077" xr:uid="{8842DD15-54E4-487D-B492-3A505722387C}"/>
    <cellStyle name="40% - Accent5 3 2 9" xfId="9699" xr:uid="{CF9F702A-9D47-4A16-AC80-1E4994CC9954}"/>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998905DC-0C70-44F2-99A7-E950E756EE60}"/>
    <cellStyle name="40% - Accent5 3 3 2 3" xfId="12257" xr:uid="{FBBDCFC9-DED9-427F-92E6-8C1793DE60B5}"/>
    <cellStyle name="40% - Accent5 3 3 3" xfId="5003" xr:uid="{00000000-0005-0000-0000-0000AA060000}"/>
    <cellStyle name="40% - Accent5 3 3 3 2" xfId="14329" xr:uid="{588669B8-5F04-4F61-B98F-8AB6097A6FC0}"/>
    <cellStyle name="40% - Accent5 3 3 4" xfId="9295" xr:uid="{0D42C89E-252E-426A-8E1F-7D3AD6B9FE55}"/>
    <cellStyle name="40% - Accent5 3 3 5" xfId="10112" xr:uid="{C03B441B-750A-4307-B4A6-1C2FD2C1F1C9}"/>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B2DECC2F-414B-40F8-8676-6C999A8DDD2D}"/>
    <cellStyle name="40% - Accent5 3 4 2 3" xfId="12670" xr:uid="{D123B681-7096-434A-85A3-A4CD39C940D8}"/>
    <cellStyle name="40% - Accent5 3 4 3" xfId="5416" xr:uid="{00000000-0005-0000-0000-0000AE060000}"/>
    <cellStyle name="40% - Accent5 3 4 3 2" xfId="14742" xr:uid="{B997CE11-004B-4F96-B5CA-EC49CC1D1E89}"/>
    <cellStyle name="40% - Accent5 3 4 4" xfId="10525" xr:uid="{C7F150CE-9DCA-4C5A-810A-E936A396DD2E}"/>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E98A61D2-0BD5-4F7E-AA6D-45BF7C9513D9}"/>
    <cellStyle name="40% - Accent5 3 5 2 3" xfId="13083" xr:uid="{AEFA63B1-1401-4A52-BCA5-5A7D734F1319}"/>
    <cellStyle name="40% - Accent5 3 5 3" xfId="5829" xr:uid="{00000000-0005-0000-0000-0000B2060000}"/>
    <cellStyle name="40% - Accent5 3 5 3 2" xfId="15155" xr:uid="{7E9430D6-49BA-40E3-B919-FBA3BF50B5A0}"/>
    <cellStyle name="40% - Accent5 3 5 4" xfId="10938" xr:uid="{CF62EE91-494B-48CF-8B26-D9867D381F1A}"/>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47748F87-EC6A-410B-8602-B629BCA7DB44}"/>
    <cellStyle name="40% - Accent5 3 6 2 3" xfId="13496" xr:uid="{4EC66DC0-D43A-45B2-8BE3-3FBE8CAB2A24}"/>
    <cellStyle name="40% - Accent5 3 6 3" xfId="6242" xr:uid="{00000000-0005-0000-0000-0000B6060000}"/>
    <cellStyle name="40% - Accent5 3 6 3 2" xfId="15568" xr:uid="{FE24BCBA-409D-4DD9-98C2-77D37A2409A5}"/>
    <cellStyle name="40% - Accent5 3 6 4" xfId="11351" xr:uid="{FCEF292B-0F0D-4730-8F84-02D3385F5042}"/>
    <cellStyle name="40% - Accent5 3 7" xfId="2349" xr:uid="{00000000-0005-0000-0000-0000B7060000}"/>
    <cellStyle name="40% - Accent5 3 7 2" xfId="6655" xr:uid="{00000000-0005-0000-0000-0000B8060000}"/>
    <cellStyle name="40% - Accent5 3 7 2 2" xfId="15981" xr:uid="{49469E38-00C3-4E27-8695-627E293497C3}"/>
    <cellStyle name="40% - Accent5 3 7 3" xfId="11764" xr:uid="{9EB896EE-45E6-4F60-A7A2-E09542108298}"/>
    <cellStyle name="40% - Accent5 3 8" xfId="4589" xr:uid="{00000000-0005-0000-0000-0000B9060000}"/>
    <cellStyle name="40% - Accent5 3 8 2" xfId="13915" xr:uid="{83C21AE9-53F1-43E0-9242-D2120B16AC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6FC6FA70-1F53-42F6-B225-B4EEAD66C100}"/>
    <cellStyle name="40% - Accent5 4 2 2 3" xfId="12259" xr:uid="{C5FE5929-85D7-43A5-801B-FA007490DC78}"/>
    <cellStyle name="40% - Accent5 4 2 3" xfId="5005" xr:uid="{00000000-0005-0000-0000-0000BE060000}"/>
    <cellStyle name="40% - Accent5 4 2 3 2" xfId="14331" xr:uid="{6A5DEEBB-A8F5-43CF-914F-9C219BFB4719}"/>
    <cellStyle name="40% - Accent5 4 2 4" xfId="9381" xr:uid="{6D86932C-AFC4-4FF0-967D-0F56E90E02E1}"/>
    <cellStyle name="40% - Accent5 4 2 5" xfId="10114" xr:uid="{A5CF0CBD-4202-4D27-88F5-EFB4C2F89135}"/>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8FDB7339-5802-4FA1-95F5-230F0AA15B1D}"/>
    <cellStyle name="40% - Accent5 4 3 2 3" xfId="12672" xr:uid="{0B79C195-D100-415C-A47E-5741BB5C84AE}"/>
    <cellStyle name="40% - Accent5 4 3 3" xfId="5418" xr:uid="{00000000-0005-0000-0000-0000C2060000}"/>
    <cellStyle name="40% - Accent5 4 3 3 2" xfId="14744" xr:uid="{F91DBA93-3745-457A-826E-BA0AC326F01A}"/>
    <cellStyle name="40% - Accent5 4 3 4" xfId="10527" xr:uid="{16AC4E7B-A25F-41A0-86EA-2170159AB234}"/>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F43F6D7B-2847-4C95-A739-A1AB58234112}"/>
    <cellStyle name="40% - Accent5 4 4 2 3" xfId="13085" xr:uid="{59ED8968-45D4-493E-AE67-92358308674A}"/>
    <cellStyle name="40% - Accent5 4 4 3" xfId="5831" xr:uid="{00000000-0005-0000-0000-0000C6060000}"/>
    <cellStyle name="40% - Accent5 4 4 3 2" xfId="15157" xr:uid="{B5FD7491-AA26-4AA8-8ECB-ACB47D80A96E}"/>
    <cellStyle name="40% - Accent5 4 4 4" xfId="10940" xr:uid="{F5F71072-59F8-4EFE-A22A-3E8A7107080D}"/>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B090545E-35CE-43E3-B5AB-B08BC721FAD1}"/>
    <cellStyle name="40% - Accent5 4 5 2 3" xfId="13498" xr:uid="{716C8D66-2637-4ED7-AB62-9A97BE75A378}"/>
    <cellStyle name="40% - Accent5 4 5 3" xfId="6244" xr:uid="{00000000-0005-0000-0000-0000CA060000}"/>
    <cellStyle name="40% - Accent5 4 5 3 2" xfId="15570" xr:uid="{013992DC-462F-41BE-B230-DDED36925D0D}"/>
    <cellStyle name="40% - Accent5 4 5 4" xfId="11353" xr:uid="{FE6B607D-1293-4C62-9DA9-518AD08801E8}"/>
    <cellStyle name="40% - Accent5 4 6" xfId="2351" xr:uid="{00000000-0005-0000-0000-0000CB060000}"/>
    <cellStyle name="40% - Accent5 4 6 2" xfId="6657" xr:uid="{00000000-0005-0000-0000-0000CC060000}"/>
    <cellStyle name="40% - Accent5 4 6 2 2" xfId="15983" xr:uid="{9AF23DF5-A3CF-4197-A031-1CBD2BDCDBD4}"/>
    <cellStyle name="40% - Accent5 4 6 3" xfId="11766" xr:uid="{73F0F441-2461-4647-8D4A-1DC6F3F0E0BD}"/>
    <cellStyle name="40% - Accent5 4 7" xfId="4591" xr:uid="{00000000-0005-0000-0000-0000CD060000}"/>
    <cellStyle name="40% - Accent5 4 7 2" xfId="13917" xr:uid="{0FA4E19F-F635-4340-9483-C6486F6EB17A}"/>
    <cellStyle name="40% - Accent5 4 8" xfId="8956" xr:uid="{20EBAEFE-DF5E-4B38-878B-CDA5BD3DABC1}"/>
    <cellStyle name="40% - Accent5 4 9" xfId="9700" xr:uid="{39F81365-F48D-4F63-B2F8-599C5691883C}"/>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DC1CFB8A-C4C3-491B-B956-0485A8E2B97A}"/>
    <cellStyle name="40% - Accent5 5 2 3" xfId="12252" xr:uid="{9119CB4A-9A38-4A90-BC8D-7D96220DBC67}"/>
    <cellStyle name="40% - Accent5 5 3" xfId="4998" xr:uid="{00000000-0005-0000-0000-0000D1060000}"/>
    <cellStyle name="40% - Accent5 5 3 2" xfId="14324" xr:uid="{0472CB2A-AC9B-4FD5-B3B3-480D8FAF2016}"/>
    <cellStyle name="40% - Accent5 5 4" xfId="9189" xr:uid="{AE9A155E-B06B-4FF1-8984-8F7810581B15}"/>
    <cellStyle name="40% - Accent5 5 5" xfId="10107" xr:uid="{2636E494-568D-4855-88AB-F8FCD7594190}"/>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416C91F0-0026-4526-A896-C85DBFEBC5B7}"/>
    <cellStyle name="40% - Accent5 6 2 3" xfId="12665" xr:uid="{30409D92-C998-4463-BCCF-6042AF1FA103}"/>
    <cellStyle name="40% - Accent5 6 3" xfId="5411" xr:uid="{00000000-0005-0000-0000-0000D5060000}"/>
    <cellStyle name="40% - Accent5 6 3 2" xfId="14737" xr:uid="{874387BC-AA15-4A43-A7FF-64D9D1FF9FBD}"/>
    <cellStyle name="40% - Accent5 6 4" xfId="10520" xr:uid="{C7C064DB-F113-4EB3-9F9F-56F79DAA3758}"/>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6E5D7030-6D8B-448A-B6D1-DE4AE4AF1C19}"/>
    <cellStyle name="40% - Accent5 7 2 3" xfId="13078" xr:uid="{29686959-3719-4F1B-8CCF-5F51D1EAF23F}"/>
    <cellStyle name="40% - Accent5 7 3" xfId="5824" xr:uid="{00000000-0005-0000-0000-0000D9060000}"/>
    <cellStyle name="40% - Accent5 7 3 2" xfId="15150" xr:uid="{8F41511F-EA37-47EF-84FF-E7FC283C06C1}"/>
    <cellStyle name="40% - Accent5 7 4" xfId="10933" xr:uid="{AB470867-15D0-4944-B0E6-3C69FD8C4D00}"/>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65BEBA70-AC8E-46AE-B85F-69583F3D208C}"/>
    <cellStyle name="40% - Accent5 8 2 3" xfId="13491" xr:uid="{D0AE4795-C805-4A16-AFB2-4588EABB3553}"/>
    <cellStyle name="40% - Accent5 8 3" xfId="6237" xr:uid="{00000000-0005-0000-0000-0000DD060000}"/>
    <cellStyle name="40% - Accent5 8 3 2" xfId="15563" xr:uid="{EC26AFE1-C42C-4F33-A1CA-0EC2B27C0CCA}"/>
    <cellStyle name="40% - Accent5 8 4" xfId="11346" xr:uid="{49FA8473-2D0A-4C84-AAFA-DD15E386024E}"/>
    <cellStyle name="40% - Accent5 9" xfId="2344" xr:uid="{00000000-0005-0000-0000-0000DE060000}"/>
    <cellStyle name="40% - Accent5 9 2" xfId="6650" xr:uid="{00000000-0005-0000-0000-0000DF060000}"/>
    <cellStyle name="40% - Accent5 9 2 2" xfId="15976" xr:uid="{C6D1ABCA-23CC-4353-BAF5-0CBE7EF4304F}"/>
    <cellStyle name="40% - Accent5 9 3" xfId="11759" xr:uid="{A97DFAFB-3E44-4E38-8D98-309A130C8C18}"/>
    <cellStyle name="40% - Accent6" xfId="89" builtinId="51" customBuiltin="1"/>
    <cellStyle name="40% - Accent6 10" xfId="4592" xr:uid="{00000000-0005-0000-0000-0000E1060000}"/>
    <cellStyle name="40% - Accent6 10 2" xfId="13918" xr:uid="{0958AA9C-1454-492C-A260-10143DDD17F7}"/>
    <cellStyle name="40% - Accent6 11" xfId="8769" xr:uid="{8369FE49-3815-490F-BF3A-3BEB88E35DFA}"/>
    <cellStyle name="40% - Accent6 12" xfId="9701" xr:uid="{028477BE-1CD0-4820-B676-6C772218E88E}"/>
    <cellStyle name="40% - Accent6 2" xfId="90" xr:uid="{00000000-0005-0000-0000-0000E2060000}"/>
    <cellStyle name="40% - Accent6 2 10" xfId="8803" xr:uid="{3530B69D-EB1D-41EA-A6FB-440FE4FE29AB}"/>
    <cellStyle name="40% - Accent6 2 11" xfId="9702" xr:uid="{39626FE0-4B98-4578-8831-530439AD1F14}"/>
    <cellStyle name="40% - Accent6 2 2" xfId="91" xr:uid="{00000000-0005-0000-0000-0000E3060000}"/>
    <cellStyle name="40% - Accent6 2 2 10" xfId="9703" xr:uid="{354457F9-B939-4516-A992-17BF94A7A66F}"/>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5DB2A9F6-E685-43FB-A5FB-AB1604607ED6}"/>
    <cellStyle name="40% - Accent6 2 2 2 2 2 3" xfId="12263" xr:uid="{F87C0EEE-7115-45B1-A8D4-229D2BEEBE65}"/>
    <cellStyle name="40% - Accent6 2 2 2 2 3" xfId="5009" xr:uid="{00000000-0005-0000-0000-0000E8060000}"/>
    <cellStyle name="40% - Accent6 2 2 2 2 3 2" xfId="14335" xr:uid="{78D45A8E-BAC3-4325-A9DA-889AF83DDB72}"/>
    <cellStyle name="40% - Accent6 2 2 2 2 4" xfId="9538" xr:uid="{D1801D0B-FDF1-4C59-8DE2-DEC53081BC5D}"/>
    <cellStyle name="40% - Accent6 2 2 2 2 5" xfId="10118" xr:uid="{00470AC4-1CA3-4174-B61A-1A528A24B9CA}"/>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4C679DF8-A0DD-416F-9600-1843519CAA4C}"/>
    <cellStyle name="40% - Accent6 2 2 2 3 2 3" xfId="12676" xr:uid="{C7B06FEC-210C-40B8-B2F0-8B06E5BFF66B}"/>
    <cellStyle name="40% - Accent6 2 2 2 3 3" xfId="5422" xr:uid="{00000000-0005-0000-0000-0000EC060000}"/>
    <cellStyle name="40% - Accent6 2 2 2 3 3 2" xfId="14748" xr:uid="{80DFC3A8-67F5-4069-B0BB-62DAC271287E}"/>
    <cellStyle name="40% - Accent6 2 2 2 3 4" xfId="10531" xr:uid="{6297B11A-2D5E-4F17-80BB-1347AFF728AC}"/>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29F10EEB-CC4D-4A24-977F-D9748795253F}"/>
    <cellStyle name="40% - Accent6 2 2 2 4 2 3" xfId="13089" xr:uid="{FD83AAEB-74B3-4C2B-92D6-F0041D0531C8}"/>
    <cellStyle name="40% - Accent6 2 2 2 4 3" xfId="5835" xr:uid="{00000000-0005-0000-0000-0000F0060000}"/>
    <cellStyle name="40% - Accent6 2 2 2 4 3 2" xfId="15161" xr:uid="{F68D08D0-D6EC-43F7-943B-BCE556485101}"/>
    <cellStyle name="40% - Accent6 2 2 2 4 4" xfId="10944" xr:uid="{F648869A-56D2-4159-9603-828554B02445}"/>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06FEA6FA-F269-48BE-978C-D5187087A3D5}"/>
    <cellStyle name="40% - Accent6 2 2 2 5 2 3" xfId="13502" xr:uid="{33810934-1388-4F2D-AE4C-E93D3CD1792E}"/>
    <cellStyle name="40% - Accent6 2 2 2 5 3" xfId="6248" xr:uid="{00000000-0005-0000-0000-0000F4060000}"/>
    <cellStyle name="40% - Accent6 2 2 2 5 3 2" xfId="15574" xr:uid="{19B1CC05-996B-4119-BA95-A9296208F878}"/>
    <cellStyle name="40% - Accent6 2 2 2 5 4" xfId="11357" xr:uid="{47313B9B-4A13-4EAB-8726-29D9F0ED13EF}"/>
    <cellStyle name="40% - Accent6 2 2 2 6" xfId="2355" xr:uid="{00000000-0005-0000-0000-0000F5060000}"/>
    <cellStyle name="40% - Accent6 2 2 2 6 2" xfId="6661" xr:uid="{00000000-0005-0000-0000-0000F6060000}"/>
    <cellStyle name="40% - Accent6 2 2 2 6 2 2" xfId="15987" xr:uid="{12C6C381-0D66-49C9-869F-EE9FE6F3D910}"/>
    <cellStyle name="40% - Accent6 2 2 2 6 3" xfId="11770" xr:uid="{FCB18D49-BDEB-4C1D-84EE-6D4421FC336A}"/>
    <cellStyle name="40% - Accent6 2 2 2 7" xfId="4595" xr:uid="{00000000-0005-0000-0000-0000F7060000}"/>
    <cellStyle name="40% - Accent6 2 2 2 7 2" xfId="13921" xr:uid="{0FBF6D44-9EAF-40D2-9B5E-7F9C8EE7780B}"/>
    <cellStyle name="40% - Accent6 2 2 2 8" xfId="9113" xr:uid="{D9373B4A-E1DA-437A-874A-FCE4D00708EB}"/>
    <cellStyle name="40% - Accent6 2 2 2 9" xfId="9704" xr:uid="{9213D491-8405-43AB-988E-D720D6BC7BC5}"/>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124D94E1-A2A2-4611-A279-760B4C3BCD25}"/>
    <cellStyle name="40% - Accent6 2 2 3 2 3" xfId="12262" xr:uid="{5F881C93-8D17-4CF0-A4E4-5F947FDCD265}"/>
    <cellStyle name="40% - Accent6 2 2 3 3" xfId="5008" xr:uid="{00000000-0005-0000-0000-0000FB060000}"/>
    <cellStyle name="40% - Accent6 2 2 3 3 2" xfId="14334" xr:uid="{9D1E4740-13AB-4356-A94B-62D75EEC3E96}"/>
    <cellStyle name="40% - Accent6 2 2 3 4" xfId="9331" xr:uid="{223B62DA-AA8A-4703-B6D5-D6AA8918B034}"/>
    <cellStyle name="40% - Accent6 2 2 3 5" xfId="10117" xr:uid="{15CE139B-58A3-4B8D-ABBE-183E45569558}"/>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B79B45A6-50AB-4813-BA62-CD3903846E17}"/>
    <cellStyle name="40% - Accent6 2 2 4 2 3" xfId="12675" xr:uid="{2B764B68-E834-42AE-8204-4109055EDF72}"/>
    <cellStyle name="40% - Accent6 2 2 4 3" xfId="5421" xr:uid="{00000000-0005-0000-0000-0000FF060000}"/>
    <cellStyle name="40% - Accent6 2 2 4 3 2" xfId="14747" xr:uid="{EFB5E918-168A-494F-98A5-10F1916542AB}"/>
    <cellStyle name="40% - Accent6 2 2 4 4" xfId="10530" xr:uid="{242D1F97-EDA7-4B92-B970-BCAEE0B86818}"/>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903A09A4-2700-4ACC-908D-5CA04C0CAFDF}"/>
    <cellStyle name="40% - Accent6 2 2 5 2 3" xfId="13088" xr:uid="{0688FCEC-4D6F-4154-97B5-93F0161F9D6B}"/>
    <cellStyle name="40% - Accent6 2 2 5 3" xfId="5834" xr:uid="{00000000-0005-0000-0000-000003070000}"/>
    <cellStyle name="40% - Accent6 2 2 5 3 2" xfId="15160" xr:uid="{FF76E578-E9F5-4481-BDF9-BE677CEFAAF5}"/>
    <cellStyle name="40% - Accent6 2 2 5 4" xfId="10943" xr:uid="{4297F7BB-152D-4023-9612-9268BEE17AF4}"/>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C771123A-A708-46EC-939B-FB518786D309}"/>
    <cellStyle name="40% - Accent6 2 2 6 2 3" xfId="13501" xr:uid="{14100C37-C9D6-4D56-A81D-1C8A9E961335}"/>
    <cellStyle name="40% - Accent6 2 2 6 3" xfId="6247" xr:uid="{00000000-0005-0000-0000-000007070000}"/>
    <cellStyle name="40% - Accent6 2 2 6 3 2" xfId="15573" xr:uid="{9BAEEEB4-6150-4B06-8A7C-A3FD5F9DC2E4}"/>
    <cellStyle name="40% - Accent6 2 2 6 4" xfId="11356" xr:uid="{32D5ED0F-C6DF-405C-B154-F131872EA387}"/>
    <cellStyle name="40% - Accent6 2 2 7" xfId="2354" xr:uid="{00000000-0005-0000-0000-000008070000}"/>
    <cellStyle name="40% - Accent6 2 2 7 2" xfId="6660" xr:uid="{00000000-0005-0000-0000-000009070000}"/>
    <cellStyle name="40% - Accent6 2 2 7 2 2" xfId="15986" xr:uid="{6B9B1AD9-E049-4095-9857-3DEA462780B0}"/>
    <cellStyle name="40% - Accent6 2 2 7 3" xfId="11769" xr:uid="{52E9CEDE-96FA-4E64-B551-27FC6DBE8BD6}"/>
    <cellStyle name="40% - Accent6 2 2 8" xfId="4594" xr:uid="{00000000-0005-0000-0000-00000A070000}"/>
    <cellStyle name="40% - Accent6 2 2 8 2" xfId="13920" xr:uid="{460747A3-872F-412F-903E-C17D41E960D1}"/>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D727FF3F-3476-429D-A561-B2E96D022F93}"/>
    <cellStyle name="40% - Accent6 2 3 2 2 3" xfId="12264" xr:uid="{01E33895-97C4-4A35-8487-347F3A3F885B}"/>
    <cellStyle name="40% - Accent6 2 3 2 3" xfId="5010" xr:uid="{00000000-0005-0000-0000-00000F070000}"/>
    <cellStyle name="40% - Accent6 2 3 2 3 2" xfId="14336" xr:uid="{F4115BF3-5A1F-422C-9930-908B4E40D28E}"/>
    <cellStyle name="40% - Accent6 2 3 2 4" xfId="9435" xr:uid="{36535681-1736-4584-8CB6-F8F38C9E0E5B}"/>
    <cellStyle name="40% - Accent6 2 3 2 5" xfId="10119" xr:uid="{314A8ACE-679F-4BE8-95F7-C5D23A4BF085}"/>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077E75C8-CCD7-42C9-9201-3C46D1A8A627}"/>
    <cellStyle name="40% - Accent6 2 3 3 2 3" xfId="12677" xr:uid="{A42DB2C8-3E26-4AEA-8449-1E2F9ABB84C3}"/>
    <cellStyle name="40% - Accent6 2 3 3 3" xfId="5423" xr:uid="{00000000-0005-0000-0000-000013070000}"/>
    <cellStyle name="40% - Accent6 2 3 3 3 2" xfId="14749" xr:uid="{C3D5D883-B377-4436-91BF-6605DA41B1E1}"/>
    <cellStyle name="40% - Accent6 2 3 3 4" xfId="10532" xr:uid="{47159C7C-4353-404D-A3E1-CEC1C704F406}"/>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EF5223F0-78FE-4827-B750-F37309123C91}"/>
    <cellStyle name="40% - Accent6 2 3 4 2 3" xfId="13090" xr:uid="{251801E0-5100-4DA8-90F8-4D2906E1FD1F}"/>
    <cellStyle name="40% - Accent6 2 3 4 3" xfId="5836" xr:uid="{00000000-0005-0000-0000-000017070000}"/>
    <cellStyle name="40% - Accent6 2 3 4 3 2" xfId="15162" xr:uid="{63B8FFC7-76F6-4C4F-96BE-6A00D5B0A005}"/>
    <cellStyle name="40% - Accent6 2 3 4 4" xfId="10945" xr:uid="{7083C677-C9E5-4F9F-AAFC-26B8B089B803}"/>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DC8D9144-6DC1-4D3B-82CD-F2CDAEB523B3}"/>
    <cellStyle name="40% - Accent6 2 3 5 2 3" xfId="13503" xr:uid="{EF6CAA08-E9B0-474A-A3EE-F167E466AFB4}"/>
    <cellStyle name="40% - Accent6 2 3 5 3" xfId="6249" xr:uid="{00000000-0005-0000-0000-00001B070000}"/>
    <cellStyle name="40% - Accent6 2 3 5 3 2" xfId="15575" xr:uid="{293248C6-8C4B-481E-B38F-882BF468AF20}"/>
    <cellStyle name="40% - Accent6 2 3 5 4" xfId="11358" xr:uid="{4D072BC1-B337-40C8-9026-9A91267001A4}"/>
    <cellStyle name="40% - Accent6 2 3 6" xfId="2356" xr:uid="{00000000-0005-0000-0000-00001C070000}"/>
    <cellStyle name="40% - Accent6 2 3 6 2" xfId="6662" xr:uid="{00000000-0005-0000-0000-00001D070000}"/>
    <cellStyle name="40% - Accent6 2 3 6 2 2" xfId="15988" xr:uid="{96104BED-AEA8-406A-B77F-5ADD3AB94889}"/>
    <cellStyle name="40% - Accent6 2 3 6 3" xfId="11771" xr:uid="{E2C26B98-591A-469D-B796-E1C116C74FEC}"/>
    <cellStyle name="40% - Accent6 2 3 7" xfId="4596" xr:uid="{00000000-0005-0000-0000-00001E070000}"/>
    <cellStyle name="40% - Accent6 2 3 7 2" xfId="13922" xr:uid="{0301611A-7D50-4188-AF90-EDD8998C7BE6}"/>
    <cellStyle name="40% - Accent6 2 3 8" xfId="9010" xr:uid="{63E1B5F8-FE5F-441F-B768-94B1D98CB2B1}"/>
    <cellStyle name="40% - Accent6 2 3 9" xfId="9705" xr:uid="{D1DCB664-4A5C-405C-AC1B-457A70DFA8CB}"/>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11BD243A-1E3B-4D2C-BE32-BFACE96E5235}"/>
    <cellStyle name="40% - Accent6 2 4 2 3" xfId="12261" xr:uid="{DDA2D256-623D-49A2-B7DB-D2FA1FDE45A2}"/>
    <cellStyle name="40% - Accent6 2 4 3" xfId="5007" xr:uid="{00000000-0005-0000-0000-000022070000}"/>
    <cellStyle name="40% - Accent6 2 4 3 2" xfId="14333" xr:uid="{6EFEE1E2-37C5-4188-AF75-B771B6B02EA5}"/>
    <cellStyle name="40% - Accent6 2 4 4" xfId="9227" xr:uid="{61BC3AC1-FAE9-47DF-8143-7EECE05FF8D3}"/>
    <cellStyle name="40% - Accent6 2 4 5" xfId="10116" xr:uid="{5909215D-243F-4079-A144-452FCE39D220}"/>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7B4A3D94-0A89-4105-ACEF-EC8AA214BA6C}"/>
    <cellStyle name="40% - Accent6 2 5 2 3" xfId="12674" xr:uid="{F3227D80-7917-49D1-828A-8C74603B1A00}"/>
    <cellStyle name="40% - Accent6 2 5 3" xfId="5420" xr:uid="{00000000-0005-0000-0000-000026070000}"/>
    <cellStyle name="40% - Accent6 2 5 3 2" xfId="14746" xr:uid="{28B1985A-C8C6-4A7D-A284-20BEB9160E2B}"/>
    <cellStyle name="40% - Accent6 2 5 4" xfId="10529" xr:uid="{233E141A-4F49-48E4-9899-CB7D3D5835FA}"/>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E9F82678-7CBC-4DB9-89E2-5B399395A7A4}"/>
    <cellStyle name="40% - Accent6 2 6 2 3" xfId="13087" xr:uid="{819CBE63-8798-4283-B023-EA5E1272EAF3}"/>
    <cellStyle name="40% - Accent6 2 6 3" xfId="5833" xr:uid="{00000000-0005-0000-0000-00002A070000}"/>
    <cellStyle name="40% - Accent6 2 6 3 2" xfId="15159" xr:uid="{7AB19F4A-CA8D-4A4D-A11F-F99A9A8A8FDD}"/>
    <cellStyle name="40% - Accent6 2 6 4" xfId="10942" xr:uid="{A77AE928-B245-42A6-ABE6-5EA0F2B4196C}"/>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EECC18B3-D99A-4222-92DA-6EBC77045BD6}"/>
    <cellStyle name="40% - Accent6 2 7 2 3" xfId="13500" xr:uid="{ECCC06C8-3D81-4E35-B56D-268456B0F623}"/>
    <cellStyle name="40% - Accent6 2 7 3" xfId="6246" xr:uid="{00000000-0005-0000-0000-00002E070000}"/>
    <cellStyle name="40% - Accent6 2 7 3 2" xfId="15572" xr:uid="{AE0B9786-471A-415F-A48E-A3B313AAD6DE}"/>
    <cellStyle name="40% - Accent6 2 7 4" xfId="11355" xr:uid="{49DF1911-8B71-4680-9694-19FBD6DD12DB}"/>
    <cellStyle name="40% - Accent6 2 8" xfId="2353" xr:uid="{00000000-0005-0000-0000-00002F070000}"/>
    <cellStyle name="40% - Accent6 2 8 2" xfId="6659" xr:uid="{00000000-0005-0000-0000-000030070000}"/>
    <cellStyle name="40% - Accent6 2 8 2 2" xfId="15985" xr:uid="{1F2413B4-0DEA-4B2E-ADBA-E29680B5B05F}"/>
    <cellStyle name="40% - Accent6 2 8 3" xfId="11768" xr:uid="{8DDFF4E4-0B2C-4231-874E-C03951909B36}"/>
    <cellStyle name="40% - Accent6 2 9" xfId="4593" xr:uid="{00000000-0005-0000-0000-000031070000}"/>
    <cellStyle name="40% - Accent6 2 9 2" xfId="13919" xr:uid="{E386CFCD-1443-4946-BAD1-EEAC0C3F14FD}"/>
    <cellStyle name="40% - Accent6 3" xfId="94" xr:uid="{00000000-0005-0000-0000-000032070000}"/>
    <cellStyle name="40% - Accent6 3 10" xfId="9706" xr:uid="{FD8D1B01-3E57-444D-9E30-493CC4B49003}"/>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BEA0F64A-6698-4D44-AD5B-3A9B6912A02D}"/>
    <cellStyle name="40% - Accent6 3 2 2 2 3" xfId="12266" xr:uid="{C477BAEC-1A9C-42A2-A4FB-FDAFE7815A27}"/>
    <cellStyle name="40% - Accent6 3 2 2 3" xfId="5012" xr:uid="{00000000-0005-0000-0000-000037070000}"/>
    <cellStyle name="40% - Accent6 3 2 2 3 2" xfId="14338" xr:uid="{A1B68C21-F178-4D64-98ED-F4DE43AA6A7F}"/>
    <cellStyle name="40% - Accent6 3 2 2 4" xfId="9504" xr:uid="{23E46585-FD8F-4BA3-8B65-284D6884E4FD}"/>
    <cellStyle name="40% - Accent6 3 2 2 5" xfId="10121" xr:uid="{7A55F56C-C55E-4442-82BF-E18B4CF6F7E5}"/>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437E314C-ABAD-4CB0-9DB9-559C20B58128}"/>
    <cellStyle name="40% - Accent6 3 2 3 2 3" xfId="12679" xr:uid="{CA977E8C-6E97-4261-AF52-7F11E60F3EAE}"/>
    <cellStyle name="40% - Accent6 3 2 3 3" xfId="5425" xr:uid="{00000000-0005-0000-0000-00003B070000}"/>
    <cellStyle name="40% - Accent6 3 2 3 3 2" xfId="14751" xr:uid="{A1D2B15A-2E49-4232-A1D5-B2C072F850C7}"/>
    <cellStyle name="40% - Accent6 3 2 3 4" xfId="10534" xr:uid="{E13F5A9E-AAC5-4C19-A644-E3252F41FFF2}"/>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9D4D9F1E-1AB9-4FB2-97FB-5F095D7F8CA2}"/>
    <cellStyle name="40% - Accent6 3 2 4 2 3" xfId="13092" xr:uid="{E1807281-55B3-428B-98F2-CD67CA5B7937}"/>
    <cellStyle name="40% - Accent6 3 2 4 3" xfId="5838" xr:uid="{00000000-0005-0000-0000-00003F070000}"/>
    <cellStyle name="40% - Accent6 3 2 4 3 2" xfId="15164" xr:uid="{73BDF09E-6410-4CB0-921B-46BE48887FD4}"/>
    <cellStyle name="40% - Accent6 3 2 4 4" xfId="10947" xr:uid="{D1E312DF-F410-488D-9537-015172D0BDE1}"/>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34E8913E-8655-4EC1-AC9F-3BD610666906}"/>
    <cellStyle name="40% - Accent6 3 2 5 2 3" xfId="13505" xr:uid="{878C59C8-3282-41FD-A1CC-16A8B62129E1}"/>
    <cellStyle name="40% - Accent6 3 2 5 3" xfId="6251" xr:uid="{00000000-0005-0000-0000-000043070000}"/>
    <cellStyle name="40% - Accent6 3 2 5 3 2" xfId="15577" xr:uid="{C3C23D81-3177-4A63-A252-1EF5F773108F}"/>
    <cellStyle name="40% - Accent6 3 2 5 4" xfId="11360" xr:uid="{CA06B1CD-BF8B-4EDB-BEFC-E928C2C58BBD}"/>
    <cellStyle name="40% - Accent6 3 2 6" xfId="2358" xr:uid="{00000000-0005-0000-0000-000044070000}"/>
    <cellStyle name="40% - Accent6 3 2 6 2" xfId="6664" xr:uid="{00000000-0005-0000-0000-000045070000}"/>
    <cellStyle name="40% - Accent6 3 2 6 2 2" xfId="15990" xr:uid="{B663257D-ECA7-4601-9BFB-CB46EB567962}"/>
    <cellStyle name="40% - Accent6 3 2 6 3" xfId="11773" xr:uid="{C5368C96-F502-487B-8E63-C53D384D6DE5}"/>
    <cellStyle name="40% - Accent6 3 2 7" xfId="4598" xr:uid="{00000000-0005-0000-0000-000046070000}"/>
    <cellStyle name="40% - Accent6 3 2 7 2" xfId="13924" xr:uid="{3D7B6339-524B-4796-99F8-F7998ECFCAEC}"/>
    <cellStyle name="40% - Accent6 3 2 8" xfId="9079" xr:uid="{7FA93E2E-699F-4676-8533-A3CC5F80D807}"/>
    <cellStyle name="40% - Accent6 3 2 9" xfId="9707" xr:uid="{C55A7837-C77F-42C1-8A1A-B6AE82BB6EC1}"/>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27742B74-1F3D-4887-B28A-E2E71105E672}"/>
    <cellStyle name="40% - Accent6 3 3 2 3" xfId="12265" xr:uid="{D00E3DF7-DC98-498C-A7F4-F2FF14F5E69F}"/>
    <cellStyle name="40% - Accent6 3 3 3" xfId="5011" xr:uid="{00000000-0005-0000-0000-00004A070000}"/>
    <cellStyle name="40% - Accent6 3 3 3 2" xfId="14337" xr:uid="{EA6AB5B6-4E41-4058-AA75-EAAF2D361B9B}"/>
    <cellStyle name="40% - Accent6 3 3 4" xfId="9297" xr:uid="{1226E28F-09E7-4580-8D19-7F14AC1CB4B3}"/>
    <cellStyle name="40% - Accent6 3 3 5" xfId="10120" xr:uid="{5E4E7BE8-0A6B-4A76-8BAD-01EDF13FD184}"/>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35E2D1DA-7144-4FF7-91AE-14CF8BCC2E91}"/>
    <cellStyle name="40% - Accent6 3 4 2 3" xfId="12678" xr:uid="{E9B4DA50-80E3-4243-AD71-AB59D70AEC15}"/>
    <cellStyle name="40% - Accent6 3 4 3" xfId="5424" xr:uid="{00000000-0005-0000-0000-00004E070000}"/>
    <cellStyle name="40% - Accent6 3 4 3 2" xfId="14750" xr:uid="{32AA3E26-AC32-4DA4-8091-A0385A2BEB4D}"/>
    <cellStyle name="40% - Accent6 3 4 4" xfId="10533" xr:uid="{C2877475-F11D-4B52-ADC2-7D26B3E57BE8}"/>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0E8687B4-11C3-4E4F-8646-44769641DF35}"/>
    <cellStyle name="40% - Accent6 3 5 2 3" xfId="13091" xr:uid="{31CD9F38-5B45-45CA-8C1C-54DE1AC5BDF7}"/>
    <cellStyle name="40% - Accent6 3 5 3" xfId="5837" xr:uid="{00000000-0005-0000-0000-000052070000}"/>
    <cellStyle name="40% - Accent6 3 5 3 2" xfId="15163" xr:uid="{FA5802C2-EBC4-4DD1-A555-71B1AD5EC505}"/>
    <cellStyle name="40% - Accent6 3 5 4" xfId="10946" xr:uid="{A5C9E9FF-70D5-411C-9587-F6D1C55C7637}"/>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1E467F55-C6F1-461A-ABE2-BCFB1DB359F9}"/>
    <cellStyle name="40% - Accent6 3 6 2 3" xfId="13504" xr:uid="{50F40EF1-0113-4F73-AF5A-D303A375A608}"/>
    <cellStyle name="40% - Accent6 3 6 3" xfId="6250" xr:uid="{00000000-0005-0000-0000-000056070000}"/>
    <cellStyle name="40% - Accent6 3 6 3 2" xfId="15576" xr:uid="{A3990250-A927-4BF9-A90E-E22A2039F9BC}"/>
    <cellStyle name="40% - Accent6 3 6 4" xfId="11359" xr:uid="{FB327296-A881-4B74-B092-0DAFEA9D3DC0}"/>
    <cellStyle name="40% - Accent6 3 7" xfId="2357" xr:uid="{00000000-0005-0000-0000-000057070000}"/>
    <cellStyle name="40% - Accent6 3 7 2" xfId="6663" xr:uid="{00000000-0005-0000-0000-000058070000}"/>
    <cellStyle name="40% - Accent6 3 7 2 2" xfId="15989" xr:uid="{2153AD92-FDE1-4B99-95A4-22514C278261}"/>
    <cellStyle name="40% - Accent6 3 7 3" xfId="11772" xr:uid="{F8EA48EB-BCA0-4BF4-9E33-81B372E85C4B}"/>
    <cellStyle name="40% - Accent6 3 8" xfId="4597" xr:uid="{00000000-0005-0000-0000-000059070000}"/>
    <cellStyle name="40% - Accent6 3 8 2" xfId="13923" xr:uid="{E5BB77D2-BB0D-4CEF-9BFC-8C5093D7028B}"/>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F119AA50-7807-4B70-A720-91562A6A80FB}"/>
    <cellStyle name="40% - Accent6 4 2 2 3" xfId="12267" xr:uid="{50B1C30C-639F-4C85-86C7-5A62C286FA9E}"/>
    <cellStyle name="40% - Accent6 4 2 3" xfId="5013" xr:uid="{00000000-0005-0000-0000-00005E070000}"/>
    <cellStyle name="40% - Accent6 4 2 3 2" xfId="14339" xr:uid="{0541B26A-EDA0-40DD-84A7-E933E5D1A085}"/>
    <cellStyle name="40% - Accent6 4 2 4" xfId="9383" xr:uid="{07C7426F-B517-4815-A0BF-2BAE02B26B53}"/>
    <cellStyle name="40% - Accent6 4 2 5" xfId="10122" xr:uid="{C9506AF6-AB15-4179-8765-7A7A3F2F1BA4}"/>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C0672103-7B00-40F1-AE77-3A0816CB5B18}"/>
    <cellStyle name="40% - Accent6 4 3 2 3" xfId="12680" xr:uid="{0A66346B-98C0-49C1-8EC7-CA3BF2F5A9A4}"/>
    <cellStyle name="40% - Accent6 4 3 3" xfId="5426" xr:uid="{00000000-0005-0000-0000-000062070000}"/>
    <cellStyle name="40% - Accent6 4 3 3 2" xfId="14752" xr:uid="{4851DF8E-2946-4F30-9B38-AADAA5251260}"/>
    <cellStyle name="40% - Accent6 4 3 4" xfId="10535" xr:uid="{BAA82254-72EC-415A-B003-92FC2B762263}"/>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A1898539-EC9B-4544-970F-289EAB77DA8E}"/>
    <cellStyle name="40% - Accent6 4 4 2 3" xfId="13093" xr:uid="{C5C2495B-F48A-4BD6-8F5C-B2ED4DB2BE7E}"/>
    <cellStyle name="40% - Accent6 4 4 3" xfId="5839" xr:uid="{00000000-0005-0000-0000-000066070000}"/>
    <cellStyle name="40% - Accent6 4 4 3 2" xfId="15165" xr:uid="{BD5155D6-B6A0-4D44-9362-6B8058A4AFB6}"/>
    <cellStyle name="40% - Accent6 4 4 4" xfId="10948" xr:uid="{6999E81D-42AD-4C51-9ABB-41D33B480DCA}"/>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13B7DBCC-1C43-4A99-BF3F-D78079A344EF}"/>
    <cellStyle name="40% - Accent6 4 5 2 3" xfId="13506" xr:uid="{9546E7F5-B511-4BA5-837B-D2670100A4A9}"/>
    <cellStyle name="40% - Accent6 4 5 3" xfId="6252" xr:uid="{00000000-0005-0000-0000-00006A070000}"/>
    <cellStyle name="40% - Accent6 4 5 3 2" xfId="15578" xr:uid="{0C4D9273-7906-475A-972B-00A756DA7DC7}"/>
    <cellStyle name="40% - Accent6 4 5 4" xfId="11361" xr:uid="{528F1031-DB72-4EA5-B8AC-B5A36B080B87}"/>
    <cellStyle name="40% - Accent6 4 6" xfId="2359" xr:uid="{00000000-0005-0000-0000-00006B070000}"/>
    <cellStyle name="40% - Accent6 4 6 2" xfId="6665" xr:uid="{00000000-0005-0000-0000-00006C070000}"/>
    <cellStyle name="40% - Accent6 4 6 2 2" xfId="15991" xr:uid="{4DAC4750-5684-47E2-85AD-E9BB1F9CB73C}"/>
    <cellStyle name="40% - Accent6 4 6 3" xfId="11774" xr:uid="{87F277CE-FF0F-435B-A044-4F2B867B5152}"/>
    <cellStyle name="40% - Accent6 4 7" xfId="4599" xr:uid="{00000000-0005-0000-0000-00006D070000}"/>
    <cellStyle name="40% - Accent6 4 7 2" xfId="13925" xr:uid="{DFA3CE5D-07E9-4B86-B055-63393DED2DF0}"/>
    <cellStyle name="40% - Accent6 4 8" xfId="8958" xr:uid="{058203D5-6D6D-4106-8D68-93F66B236239}"/>
    <cellStyle name="40% - Accent6 4 9" xfId="9708" xr:uid="{21FDF429-39BB-412C-B4D2-F75B59A9E824}"/>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99E1E3AA-AC61-44AA-A8B7-79DAB6B916ED}"/>
    <cellStyle name="40% - Accent6 5 2 3" xfId="12260" xr:uid="{EE0FBFF4-172F-45D8-9820-1954C8C14882}"/>
    <cellStyle name="40% - Accent6 5 3" xfId="5006" xr:uid="{00000000-0005-0000-0000-000071070000}"/>
    <cellStyle name="40% - Accent6 5 3 2" xfId="14332" xr:uid="{FEBEB17F-18A8-47BB-AC70-3E04DA9817CC}"/>
    <cellStyle name="40% - Accent6 5 4" xfId="9192" xr:uid="{19661A88-B46A-4EF9-A9F3-4BCF8E242108}"/>
    <cellStyle name="40% - Accent6 5 5" xfId="10115" xr:uid="{EE2E84BE-1B25-4C64-895A-5E6E13FE4E20}"/>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E2C35731-5BBD-4881-9A94-974D02B4AC89}"/>
    <cellStyle name="40% - Accent6 6 2 3" xfId="12673" xr:uid="{1C88B1D0-BF33-4346-89C3-9E8B82A2D09B}"/>
    <cellStyle name="40% - Accent6 6 3" xfId="5419" xr:uid="{00000000-0005-0000-0000-000075070000}"/>
    <cellStyle name="40% - Accent6 6 3 2" xfId="14745" xr:uid="{C3DC9391-AD89-4038-A422-FE97BD0BCED6}"/>
    <cellStyle name="40% - Accent6 6 4" xfId="10528" xr:uid="{63DE84D2-0611-4181-B9EC-D826901204E3}"/>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71CD1008-7526-459A-8A60-8A6AFC50791F}"/>
    <cellStyle name="40% - Accent6 7 2 3" xfId="13086" xr:uid="{B27AA741-9530-42E0-9EAC-E8F600A1BC28}"/>
    <cellStyle name="40% - Accent6 7 3" xfId="5832" xr:uid="{00000000-0005-0000-0000-000079070000}"/>
    <cellStyle name="40% - Accent6 7 3 2" xfId="15158" xr:uid="{3EFD2C98-EC2E-4F7B-8F00-CD6F39487C83}"/>
    <cellStyle name="40% - Accent6 7 4" xfId="10941" xr:uid="{45B3B143-2694-4A79-B6FC-3B4E8DC6EC2F}"/>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D425CE51-C64B-4AD4-B26D-8A12DC334799}"/>
    <cellStyle name="40% - Accent6 8 2 3" xfId="13499" xr:uid="{E9DCC4F1-CEBA-4EAF-8F60-BD08FD7A3AF6}"/>
    <cellStyle name="40% - Accent6 8 3" xfId="6245" xr:uid="{00000000-0005-0000-0000-00007D070000}"/>
    <cellStyle name="40% - Accent6 8 3 2" xfId="15571" xr:uid="{F5478AB1-42F1-4C7B-B943-C7C9ADC6C9F0}"/>
    <cellStyle name="40% - Accent6 8 4" xfId="11354" xr:uid="{F8FD59BE-EAA9-47B7-B617-6115D6A76D70}"/>
    <cellStyle name="40% - Accent6 9" xfId="2352" xr:uid="{00000000-0005-0000-0000-00007E070000}"/>
    <cellStyle name="40% - Accent6 9 2" xfId="6658" xr:uid="{00000000-0005-0000-0000-00007F070000}"/>
    <cellStyle name="40% - Accent6 9 2 2" xfId="15984" xr:uid="{E0C4DE33-7B9C-4759-B190-90CBA35232CA}"/>
    <cellStyle name="40% - Accent6 9 3" xfId="11767" xr:uid="{3E4DCA5C-168B-48E9-9F0A-F61AEE3E3051}"/>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0423C26C-3F57-41B0-A2E7-1BCAB261FA92}"/>
    <cellStyle name="Comma 4 2 2 2 10 3" xfId="12092" xr:uid="{25336C01-745B-4749-9E8D-410F66988588}"/>
    <cellStyle name="Comma 4 2 2 2 11" xfId="4600" xr:uid="{00000000-0005-0000-0000-0000A3070000}"/>
    <cellStyle name="Comma 4 2 2 2 11 2" xfId="13926" xr:uid="{69FA769E-B270-49BD-9C83-DC4E4A34662E}"/>
    <cellStyle name="Comma 4 2 2 2 12" xfId="8806" xr:uid="{6C773D0B-D2E3-4A8C-B041-8DA2843B9E25}"/>
    <cellStyle name="Comma 4 2 2 2 13" xfId="9709" xr:uid="{7EE64C40-93CF-4A8F-A283-1E7F947606C6}"/>
    <cellStyle name="Comma 4 2 2 2 2" xfId="129" xr:uid="{00000000-0005-0000-0000-0000A4070000}"/>
    <cellStyle name="Comma 4 2 2 2 2 10" xfId="4601" xr:uid="{00000000-0005-0000-0000-0000A5070000}"/>
    <cellStyle name="Comma 4 2 2 2 2 10 2" xfId="13927" xr:uid="{F3E9D9A6-939F-46F0-ACF7-11D1AAEF2C90}"/>
    <cellStyle name="Comma 4 2 2 2 2 11" xfId="8909" xr:uid="{477FCE05-1F49-4658-A03C-A8A5E7983C47}"/>
    <cellStyle name="Comma 4 2 2 2 2 12" xfId="9710" xr:uid="{C174BCDE-89EE-47A2-A9EE-ADFF7BA53419}"/>
    <cellStyle name="Comma 4 2 2 2 2 2" xfId="130" xr:uid="{00000000-0005-0000-0000-0000A6070000}"/>
    <cellStyle name="Comma 4 2 2 2 2 2 10" xfId="9116" xr:uid="{7A07505D-6B4C-4086-90B5-B5D345FB7611}"/>
    <cellStyle name="Comma 4 2 2 2 2 2 11" xfId="9711" xr:uid="{205759B3-800E-475B-A76F-4047024DA1AA}"/>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C7D21115-EFF2-4B6A-A815-27A80EA05187}"/>
    <cellStyle name="Comma 4 2 2 2 2 2 2 2 3" xfId="12270" xr:uid="{EB5A30A5-DF9F-4428-9122-12F75DAC5B6B}"/>
    <cellStyle name="Comma 4 2 2 2 2 2 2 3" xfId="5016" xr:uid="{00000000-0005-0000-0000-0000AA070000}"/>
    <cellStyle name="Comma 4 2 2 2 2 2 2 3 2" xfId="14342" xr:uid="{8B50A9D6-CC8A-446D-BE15-159F77424B9F}"/>
    <cellStyle name="Comma 4 2 2 2 2 2 2 4" xfId="9541" xr:uid="{21DC771E-83A2-48BA-BE40-3E9E8454DE28}"/>
    <cellStyle name="Comma 4 2 2 2 2 2 2 5" xfId="10125" xr:uid="{9891D8BA-5F16-4731-BFDE-9E892312C9CB}"/>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47610C2A-18BC-411A-ACF9-48B7C357416E}"/>
    <cellStyle name="Comma 4 2 2 2 2 2 3 2 3" xfId="12683" xr:uid="{9CDA3177-AA0F-4FC9-9AF1-F95C4E57623D}"/>
    <cellStyle name="Comma 4 2 2 2 2 2 3 3" xfId="5429" xr:uid="{00000000-0005-0000-0000-0000AE070000}"/>
    <cellStyle name="Comma 4 2 2 2 2 2 3 3 2" xfId="14755" xr:uid="{72A83AA2-4353-4B75-A3AD-D013C7E5DB29}"/>
    <cellStyle name="Comma 4 2 2 2 2 2 3 4" xfId="10538" xr:uid="{757C03F6-C018-4961-8B82-18522B315A2A}"/>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FD106B0A-ECF4-46EB-AC67-F19891682F62}"/>
    <cellStyle name="Comma 4 2 2 2 2 2 4 2 3" xfId="13096" xr:uid="{6E9E1456-2019-4421-989A-540C0D638833}"/>
    <cellStyle name="Comma 4 2 2 2 2 2 4 3" xfId="5842" xr:uid="{00000000-0005-0000-0000-0000B2070000}"/>
    <cellStyle name="Comma 4 2 2 2 2 2 4 3 2" xfId="15168" xr:uid="{0CA83619-0BF4-4B84-AD1F-D9EDDBFFB28C}"/>
    <cellStyle name="Comma 4 2 2 2 2 2 4 4" xfId="10951" xr:uid="{A96508B7-73BD-4BE2-B2C9-B7D128F4ADCC}"/>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615B00BF-65A9-4A34-9BAF-197612172739}"/>
    <cellStyle name="Comma 4 2 2 2 2 2 5 2 3" xfId="13509" xr:uid="{4128BB01-A9BD-43C3-A559-DC8D8CC0701C}"/>
    <cellStyle name="Comma 4 2 2 2 2 2 5 3" xfId="6255" xr:uid="{00000000-0005-0000-0000-0000B6070000}"/>
    <cellStyle name="Comma 4 2 2 2 2 2 5 3 2" xfId="15581" xr:uid="{9391DD11-E1CD-4B17-960A-A55A17A855D7}"/>
    <cellStyle name="Comma 4 2 2 2 2 2 5 4" xfId="11364" xr:uid="{A78D91AA-92B3-43D8-9E2C-F8FBD001E404}"/>
    <cellStyle name="Comma 4 2 2 2 2 2 6" xfId="2384" xr:uid="{00000000-0005-0000-0000-0000B7070000}"/>
    <cellStyle name="Comma 4 2 2 2 2 2 6 2" xfId="6668" xr:uid="{00000000-0005-0000-0000-0000B8070000}"/>
    <cellStyle name="Comma 4 2 2 2 2 2 6 2 2" xfId="15994" xr:uid="{5FD9C5EF-CB22-47AF-A146-3CDA0E3A87C3}"/>
    <cellStyle name="Comma 4 2 2 2 2 2 6 3" xfId="11777" xr:uid="{7D49B4D2-1671-4AD4-9B77-DEC5B449E17E}"/>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421BB00C-BB6D-413E-AF5F-6780DF655DF2}"/>
    <cellStyle name="Comma 4 2 2 2 2 2 8 3" xfId="12094" xr:uid="{702174E8-0F11-4C49-8BFA-0392665A4231}"/>
    <cellStyle name="Comma 4 2 2 2 2 2 9" xfId="4602" xr:uid="{00000000-0005-0000-0000-0000BC070000}"/>
    <cellStyle name="Comma 4 2 2 2 2 2 9 2" xfId="13928" xr:uid="{C279395F-881B-4285-B970-85E0EC61AB64}"/>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DF68E800-03AB-41FD-999E-78488D7B1F1F}"/>
    <cellStyle name="Comma 4 2 2 2 2 3 2 3" xfId="12269" xr:uid="{8E7A5889-DC80-4CFE-82C0-E7775810409D}"/>
    <cellStyle name="Comma 4 2 2 2 2 3 3" xfId="5015" xr:uid="{00000000-0005-0000-0000-0000C0070000}"/>
    <cellStyle name="Comma 4 2 2 2 2 3 3 2" xfId="14341" xr:uid="{F246DA46-BF9A-4C18-9D0F-967A1DCF4AAC}"/>
    <cellStyle name="Comma 4 2 2 2 2 3 4" xfId="9334" xr:uid="{50E8807F-6450-4082-BD30-0A86C2E78D0E}"/>
    <cellStyle name="Comma 4 2 2 2 2 3 5" xfId="10124" xr:uid="{DDBD9A8C-BEDC-473B-B2AF-A439255D5E5E}"/>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6033C297-F4BD-4F36-A766-EFBF9662E5AE}"/>
    <cellStyle name="Comma 4 2 2 2 2 4 2 3" xfId="12682" xr:uid="{6FDE7E33-0D17-48AD-8F51-87ACC159F13B}"/>
    <cellStyle name="Comma 4 2 2 2 2 4 3" xfId="5428" xr:uid="{00000000-0005-0000-0000-0000C4070000}"/>
    <cellStyle name="Comma 4 2 2 2 2 4 3 2" xfId="14754" xr:uid="{BAF417ED-5D40-44B4-B5D3-28C471ECEFFA}"/>
    <cellStyle name="Comma 4 2 2 2 2 4 4" xfId="10537" xr:uid="{94536F00-C154-41B0-B351-E87AA6E1B608}"/>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AA5D0E02-81F4-451A-A436-434CAB519656}"/>
    <cellStyle name="Comma 4 2 2 2 2 5 2 3" xfId="13095" xr:uid="{F45E4E81-78D0-4589-A7F5-8463233A07DF}"/>
    <cellStyle name="Comma 4 2 2 2 2 5 3" xfId="5841" xr:uid="{00000000-0005-0000-0000-0000C8070000}"/>
    <cellStyle name="Comma 4 2 2 2 2 5 3 2" xfId="15167" xr:uid="{EADFBB62-7148-4E45-9C2F-A2778CC706DF}"/>
    <cellStyle name="Comma 4 2 2 2 2 5 4" xfId="10950" xr:uid="{72705BE1-DD80-4D32-B07A-50C148F56FA5}"/>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95A37F53-842B-479E-A3D7-AA2DBB476E4E}"/>
    <cellStyle name="Comma 4 2 2 2 2 6 2 3" xfId="13508" xr:uid="{3FF70180-CC80-4E76-9679-E75F1BD5D943}"/>
    <cellStyle name="Comma 4 2 2 2 2 6 3" xfId="6254" xr:uid="{00000000-0005-0000-0000-0000CC070000}"/>
    <cellStyle name="Comma 4 2 2 2 2 6 3 2" xfId="15580" xr:uid="{0C5398EC-C910-4579-AE88-D1FFF6155F57}"/>
    <cellStyle name="Comma 4 2 2 2 2 6 4" xfId="11363" xr:uid="{2D5F5E16-74F3-433C-A708-2081A30553CB}"/>
    <cellStyle name="Comma 4 2 2 2 2 7" xfId="2383" xr:uid="{00000000-0005-0000-0000-0000CD070000}"/>
    <cellStyle name="Comma 4 2 2 2 2 7 2" xfId="6667" xr:uid="{00000000-0005-0000-0000-0000CE070000}"/>
    <cellStyle name="Comma 4 2 2 2 2 7 2 2" xfId="15993" xr:uid="{CA4CAC24-AD10-4003-BF29-4AF18C51D2D2}"/>
    <cellStyle name="Comma 4 2 2 2 2 7 3" xfId="11776" xr:uid="{86B3FD7D-093A-4EAC-A2C8-EDFF83DF16EA}"/>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9D2F508F-EAC5-4CF6-90D9-A84E945820D0}"/>
    <cellStyle name="Comma 4 2 2 2 2 9 3" xfId="12093" xr:uid="{0E8CF983-CE34-4CE7-B43F-4543CF9035A8}"/>
    <cellStyle name="Comma 4 2 2 2 3" xfId="131" xr:uid="{00000000-0005-0000-0000-0000D2070000}"/>
    <cellStyle name="Comma 4 2 2 2 3 10" xfId="9013" xr:uid="{D7491CA1-A7A0-4099-A659-9FB418CDDACA}"/>
    <cellStyle name="Comma 4 2 2 2 3 11" xfId="9712" xr:uid="{080DC502-09DF-420C-BB37-728DA710A802}"/>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DCC05341-C048-482E-B33D-97FC913E2970}"/>
    <cellStyle name="Comma 4 2 2 2 3 2 2 3" xfId="12271" xr:uid="{8D68A6E1-B87E-4134-A20C-CAAD684FA432}"/>
    <cellStyle name="Comma 4 2 2 2 3 2 3" xfId="5017" xr:uid="{00000000-0005-0000-0000-0000D6070000}"/>
    <cellStyle name="Comma 4 2 2 2 3 2 3 2" xfId="14343" xr:uid="{3F08A77A-71B6-4FC2-93DE-50A6FFB5346D}"/>
    <cellStyle name="Comma 4 2 2 2 3 2 4" xfId="9438" xr:uid="{8E9C4341-814A-43D1-8D35-8CCC512A2E32}"/>
    <cellStyle name="Comma 4 2 2 2 3 2 5" xfId="10126" xr:uid="{E00AB030-0A5B-42A3-B5CB-7EEEC197B193}"/>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8E456676-4DD9-471C-AD18-C11941FD3239}"/>
    <cellStyle name="Comma 4 2 2 2 3 3 2 3" xfId="12684" xr:uid="{4B8C7C5D-0CAD-4FC3-815C-CE50BB3E1675}"/>
    <cellStyle name="Comma 4 2 2 2 3 3 3" xfId="5430" xr:uid="{00000000-0005-0000-0000-0000DA070000}"/>
    <cellStyle name="Comma 4 2 2 2 3 3 3 2" xfId="14756" xr:uid="{EA851B5C-E802-471A-BA69-A53E8F2F96A1}"/>
    <cellStyle name="Comma 4 2 2 2 3 3 4" xfId="10539" xr:uid="{14D1C58C-6E4D-4B55-8431-FC767DCBE9D5}"/>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8EAA246F-0D6F-439F-ACE4-5CBC084833E6}"/>
    <cellStyle name="Comma 4 2 2 2 3 4 2 3" xfId="13097" xr:uid="{3AAB01AF-BC46-4223-840F-242C1782B419}"/>
    <cellStyle name="Comma 4 2 2 2 3 4 3" xfId="5843" xr:uid="{00000000-0005-0000-0000-0000DE070000}"/>
    <cellStyle name="Comma 4 2 2 2 3 4 3 2" xfId="15169" xr:uid="{B8B43B68-743B-4A97-88D8-6C7A815E8C6F}"/>
    <cellStyle name="Comma 4 2 2 2 3 4 4" xfId="10952" xr:uid="{A33EC59D-106D-4E2E-BA72-59CE53C85F02}"/>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4F6D0807-4665-400F-B1E4-46937E58E477}"/>
    <cellStyle name="Comma 4 2 2 2 3 5 2 3" xfId="13510" xr:uid="{EFD226AF-171E-4AE6-A204-6283113E24B2}"/>
    <cellStyle name="Comma 4 2 2 2 3 5 3" xfId="6256" xr:uid="{00000000-0005-0000-0000-0000E2070000}"/>
    <cellStyle name="Comma 4 2 2 2 3 5 3 2" xfId="15582" xr:uid="{B0550715-BAA8-475E-A310-9139B72832A5}"/>
    <cellStyle name="Comma 4 2 2 2 3 5 4" xfId="11365" xr:uid="{B9FAAA2F-8B10-4F3E-B1E2-B9AEB18899BA}"/>
    <cellStyle name="Comma 4 2 2 2 3 6" xfId="2385" xr:uid="{00000000-0005-0000-0000-0000E3070000}"/>
    <cellStyle name="Comma 4 2 2 2 3 6 2" xfId="6669" xr:uid="{00000000-0005-0000-0000-0000E4070000}"/>
    <cellStyle name="Comma 4 2 2 2 3 6 2 2" xfId="15995" xr:uid="{7B8C568A-5DD6-4558-AB22-1B2B27EA224A}"/>
    <cellStyle name="Comma 4 2 2 2 3 6 3" xfId="11778" xr:uid="{AFE233AC-4F6F-4EE0-AE0E-E99FA71F7B89}"/>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67F1F7D4-0711-4C80-8996-988887D7B305}"/>
    <cellStyle name="Comma 4 2 2 2 3 8 3" xfId="12095" xr:uid="{8EF60B21-A237-4E57-A371-D3276E79C1C2}"/>
    <cellStyle name="Comma 4 2 2 2 3 9" xfId="4603" xr:uid="{00000000-0005-0000-0000-0000E8070000}"/>
    <cellStyle name="Comma 4 2 2 2 3 9 2" xfId="13929" xr:uid="{9F92B42E-2B5D-42AC-93C5-DC2F4EEACA38}"/>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C47B359D-4D9B-4AAA-9E4F-06C7158BBD5C}"/>
    <cellStyle name="Comma 4 2 2 2 4 2 3" xfId="12268" xr:uid="{DCF244C1-7CC0-4EB3-8874-0011041611BE}"/>
    <cellStyle name="Comma 4 2 2 2 4 3" xfId="5014" xr:uid="{00000000-0005-0000-0000-0000EC070000}"/>
    <cellStyle name="Comma 4 2 2 2 4 3 2" xfId="14340" xr:uid="{164D5B1C-7D31-499B-BE7B-044D9227EDA2}"/>
    <cellStyle name="Comma 4 2 2 2 4 4" xfId="9231" xr:uid="{31DAC97A-9492-467B-9850-183797A56FBE}"/>
    <cellStyle name="Comma 4 2 2 2 4 5" xfId="10123" xr:uid="{DB7832A1-EB87-487C-9EDD-E3181E53C3CD}"/>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492BB47B-52E2-40A4-9277-1A0B3D10E783}"/>
    <cellStyle name="Comma 4 2 2 2 5 2 3" xfId="12681" xr:uid="{3A96BF0F-9B14-4D93-8030-0EE698832FE1}"/>
    <cellStyle name="Comma 4 2 2 2 5 3" xfId="5427" xr:uid="{00000000-0005-0000-0000-0000F0070000}"/>
    <cellStyle name="Comma 4 2 2 2 5 3 2" xfId="14753" xr:uid="{609BFD1D-FF52-4E96-8A39-66405570F104}"/>
    <cellStyle name="Comma 4 2 2 2 5 4" xfId="10536" xr:uid="{E9569B0C-85AF-4A0A-A1CC-F8DA820F81B8}"/>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BD92845D-0604-416E-B9EC-D6786086FB70}"/>
    <cellStyle name="Comma 4 2 2 2 6 2 3" xfId="13094" xr:uid="{278FDF1D-84B4-4F40-941A-C27BCB9E6D88}"/>
    <cellStyle name="Comma 4 2 2 2 6 3" xfId="5840" xr:uid="{00000000-0005-0000-0000-0000F4070000}"/>
    <cellStyle name="Comma 4 2 2 2 6 3 2" xfId="15166" xr:uid="{A3CA9B8F-4CA5-4468-A150-A0621B54613C}"/>
    <cellStyle name="Comma 4 2 2 2 6 4" xfId="10949" xr:uid="{DD932E76-D8F9-4A66-AA80-1919B8B1BE68}"/>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1BEA27B0-75CC-408A-941F-CA29F0249FCF}"/>
    <cellStyle name="Comma 4 2 2 2 7 2 3" xfId="13507" xr:uid="{10FC339F-3DE6-4768-A732-3E6BB029E0EB}"/>
    <cellStyle name="Comma 4 2 2 2 7 3" xfId="6253" xr:uid="{00000000-0005-0000-0000-0000F8070000}"/>
    <cellStyle name="Comma 4 2 2 2 7 3 2" xfId="15579" xr:uid="{759F9BC9-5981-49BD-BB8F-1CFCB53893B6}"/>
    <cellStyle name="Comma 4 2 2 2 7 4" xfId="11362" xr:uid="{0E304868-8E0F-43B6-A0DF-26D0604C2E17}"/>
    <cellStyle name="Comma 4 2 2 2 8" xfId="2382" xr:uid="{00000000-0005-0000-0000-0000F9070000}"/>
    <cellStyle name="Comma 4 2 2 2 8 2" xfId="6666" xr:uid="{00000000-0005-0000-0000-0000FA070000}"/>
    <cellStyle name="Comma 4 2 2 2 8 2 2" xfId="15992" xr:uid="{643F6AE5-96CA-4654-92C5-B482B391B1A3}"/>
    <cellStyle name="Comma 4 2 2 2 8 3" xfId="11775" xr:uid="{C0139AA5-704C-4099-84C3-D2A9683DB0D8}"/>
    <cellStyle name="Comma 4 2 2 2 9" xfId="2381" xr:uid="{00000000-0005-0000-0000-0000FB070000}"/>
    <cellStyle name="Comma 4 2 2 3" xfId="132" xr:uid="{00000000-0005-0000-0000-0000FC070000}"/>
    <cellStyle name="Comma 4 2 2 3 10" xfId="4604" xr:uid="{00000000-0005-0000-0000-0000FD070000}"/>
    <cellStyle name="Comma 4 2 2 3 10 2" xfId="13930" xr:uid="{F336048A-2C16-4ACB-AA86-F0403FDD58CB}"/>
    <cellStyle name="Comma 4 2 2 3 11" xfId="8889" xr:uid="{93813409-C042-4436-8561-B0237A135E7D}"/>
    <cellStyle name="Comma 4 2 2 3 12" xfId="9713" xr:uid="{6B15C174-118E-41D1-AC07-4F44668BA1ED}"/>
    <cellStyle name="Comma 4 2 2 3 2" xfId="133" xr:uid="{00000000-0005-0000-0000-0000FE070000}"/>
    <cellStyle name="Comma 4 2 2 3 2 10" xfId="9096" xr:uid="{C395B6CC-7E3E-452B-B5AB-BBF992A45CEB}"/>
    <cellStyle name="Comma 4 2 2 3 2 11" xfId="9714" xr:uid="{00F53A68-DD0D-46DE-8919-3769DF6E6CA2}"/>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0A3CCF49-8142-483A-94CD-07251BE9FD91}"/>
    <cellStyle name="Comma 4 2 2 3 2 2 2 3" xfId="12273" xr:uid="{F7D7663D-C061-4AE0-92A0-849F6C1B2A24}"/>
    <cellStyle name="Comma 4 2 2 3 2 2 3" xfId="5019" xr:uid="{00000000-0005-0000-0000-000002080000}"/>
    <cellStyle name="Comma 4 2 2 3 2 2 3 2" xfId="14345" xr:uid="{DB801F43-75DC-47F5-905D-5166FA2B63DD}"/>
    <cellStyle name="Comma 4 2 2 3 2 2 4" xfId="9521" xr:uid="{8F14F654-C711-4E70-8A06-71F68E70E2E0}"/>
    <cellStyle name="Comma 4 2 2 3 2 2 5" xfId="10128" xr:uid="{040C7169-1115-4536-A462-619B068486AA}"/>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697C7FA2-5243-40AF-B742-DCB61C2E8613}"/>
    <cellStyle name="Comma 4 2 2 3 2 3 2 3" xfId="12686" xr:uid="{F2FD454C-104A-45D7-8740-BEC2F2BFBC07}"/>
    <cellStyle name="Comma 4 2 2 3 2 3 3" xfId="5432" xr:uid="{00000000-0005-0000-0000-000006080000}"/>
    <cellStyle name="Comma 4 2 2 3 2 3 3 2" xfId="14758" xr:uid="{9C2E26E6-B418-4516-A4BB-0399FAAA87AE}"/>
    <cellStyle name="Comma 4 2 2 3 2 3 4" xfId="10541" xr:uid="{910BA989-BC73-476B-A8BB-E2C106C848EC}"/>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5574ACFC-B589-4DBE-89A8-DEC6C47AE686}"/>
    <cellStyle name="Comma 4 2 2 3 2 4 2 3" xfId="13099" xr:uid="{10F390B0-5CF8-4E39-B519-ECAB4A1CFCFB}"/>
    <cellStyle name="Comma 4 2 2 3 2 4 3" xfId="5845" xr:uid="{00000000-0005-0000-0000-00000A080000}"/>
    <cellStyle name="Comma 4 2 2 3 2 4 3 2" xfId="15171" xr:uid="{E79CABE9-BE69-4F9E-9BD6-D80EBBD01C5E}"/>
    <cellStyle name="Comma 4 2 2 3 2 4 4" xfId="10954" xr:uid="{51DE7B29-19ED-43F2-9C99-A6D984BA1AC2}"/>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1482E5F9-16AD-40BE-9F3A-EB0B6C64E2F7}"/>
    <cellStyle name="Comma 4 2 2 3 2 5 2 3" xfId="13512" xr:uid="{7DB86E94-E5B1-4F24-8C36-66A9FDBA1148}"/>
    <cellStyle name="Comma 4 2 2 3 2 5 3" xfId="6258" xr:uid="{00000000-0005-0000-0000-00000E080000}"/>
    <cellStyle name="Comma 4 2 2 3 2 5 3 2" xfId="15584" xr:uid="{DEC1947A-09D8-41CC-A0D6-FC7DAC07EF9F}"/>
    <cellStyle name="Comma 4 2 2 3 2 5 4" xfId="11367" xr:uid="{441B679E-5C70-48FC-8E0E-590834D62F05}"/>
    <cellStyle name="Comma 4 2 2 3 2 6" xfId="2387" xr:uid="{00000000-0005-0000-0000-00000F080000}"/>
    <cellStyle name="Comma 4 2 2 3 2 6 2" xfId="6671" xr:uid="{00000000-0005-0000-0000-000010080000}"/>
    <cellStyle name="Comma 4 2 2 3 2 6 2 2" xfId="15997" xr:uid="{68EF5643-D057-4D5C-B2DA-A652AAB7210E}"/>
    <cellStyle name="Comma 4 2 2 3 2 6 3" xfId="11780" xr:uid="{78EAC929-DA90-40CC-91C7-1123A5B4F42B}"/>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CF64EC72-33C7-4B6E-A479-9902641AFE3F}"/>
    <cellStyle name="Comma 4 2 2 3 2 8 3" xfId="12097" xr:uid="{6D7BD739-3C2C-4699-BF8F-D1235B01DEAB}"/>
    <cellStyle name="Comma 4 2 2 3 2 9" xfId="4605" xr:uid="{00000000-0005-0000-0000-000014080000}"/>
    <cellStyle name="Comma 4 2 2 3 2 9 2" xfId="13931" xr:uid="{6301A881-8B2A-46E0-9E3C-73F23267F5B8}"/>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EFF2FCD6-5F68-4ACB-8B91-554678A6A555}"/>
    <cellStyle name="Comma 4 2 2 3 3 2 3" xfId="12272" xr:uid="{A0B6ACFC-6A1C-4DE9-ABFF-7D053CE82FDA}"/>
    <cellStyle name="Comma 4 2 2 3 3 3" xfId="5018" xr:uid="{00000000-0005-0000-0000-000018080000}"/>
    <cellStyle name="Comma 4 2 2 3 3 3 2" xfId="14344" xr:uid="{A1D5FDA4-CAA1-40D1-8F1B-3D96ED7DD298}"/>
    <cellStyle name="Comma 4 2 2 3 3 4" xfId="9314" xr:uid="{A74197AE-1229-40FC-8212-8FB289D74FF6}"/>
    <cellStyle name="Comma 4 2 2 3 3 5" xfId="10127" xr:uid="{C194A62E-4251-486A-A9C5-8564F666098E}"/>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6685DE85-7A35-482A-B22B-59EAC914954F}"/>
    <cellStyle name="Comma 4 2 2 3 4 2 3" xfId="12685" xr:uid="{1E6D2BB4-7352-4304-8D91-CD4C016F7211}"/>
    <cellStyle name="Comma 4 2 2 3 4 3" xfId="5431" xr:uid="{00000000-0005-0000-0000-00001C080000}"/>
    <cellStyle name="Comma 4 2 2 3 4 3 2" xfId="14757" xr:uid="{34F5B23B-2AC0-44FE-BF01-3CD22D4BFF46}"/>
    <cellStyle name="Comma 4 2 2 3 4 4" xfId="10540" xr:uid="{D3AB8BEB-CDB4-4983-AF2E-1BCB186073F5}"/>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836E8B10-4BBD-4FDA-86AB-B5C142105915}"/>
    <cellStyle name="Comma 4 2 2 3 5 2 3" xfId="13098" xr:uid="{014AA677-FEFD-4FC7-B450-22B2B7C52AB8}"/>
    <cellStyle name="Comma 4 2 2 3 5 3" xfId="5844" xr:uid="{00000000-0005-0000-0000-000020080000}"/>
    <cellStyle name="Comma 4 2 2 3 5 3 2" xfId="15170" xr:uid="{BBB3CB25-8B32-4F18-875B-90317E66EA42}"/>
    <cellStyle name="Comma 4 2 2 3 5 4" xfId="10953" xr:uid="{87BB18B9-FD1B-4584-9509-108949A046B6}"/>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E17A9F88-FB2C-49D1-B0FD-0BAB2146638E}"/>
    <cellStyle name="Comma 4 2 2 3 6 2 3" xfId="13511" xr:uid="{96C006AC-76BC-48CB-B138-D89F434523AA}"/>
    <cellStyle name="Comma 4 2 2 3 6 3" xfId="6257" xr:uid="{00000000-0005-0000-0000-000024080000}"/>
    <cellStyle name="Comma 4 2 2 3 6 3 2" xfId="15583" xr:uid="{71591506-B845-41FE-97C0-1F5FA345925F}"/>
    <cellStyle name="Comma 4 2 2 3 6 4" xfId="11366" xr:uid="{7C3A8B77-68B4-442C-B6B6-323E9DA13517}"/>
    <cellStyle name="Comma 4 2 2 3 7" xfId="2386" xr:uid="{00000000-0005-0000-0000-000025080000}"/>
    <cellStyle name="Comma 4 2 2 3 7 2" xfId="6670" xr:uid="{00000000-0005-0000-0000-000026080000}"/>
    <cellStyle name="Comma 4 2 2 3 7 2 2" xfId="15996" xr:uid="{9643A1B7-3F26-4B28-A733-4A01674CFBCD}"/>
    <cellStyle name="Comma 4 2 2 3 7 3" xfId="11779" xr:uid="{CB2E5795-11F8-424A-B8DA-7548B301C71C}"/>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45861176-F752-40D8-8BFB-DF34C5771BCE}"/>
    <cellStyle name="Comma 4 2 2 3 9 3" xfId="12096" xr:uid="{E71A9AC1-0AED-42DF-B892-9A9CE8D7AB3F}"/>
    <cellStyle name="Comma 4 2 2 4" xfId="134" xr:uid="{00000000-0005-0000-0000-00002A080000}"/>
    <cellStyle name="Comma 4 2 2 4 10" xfId="8993" xr:uid="{2969CB69-37C4-4C43-BC9D-87F92556F829}"/>
    <cellStyle name="Comma 4 2 2 4 11" xfId="9715" xr:uid="{B43AE8D9-FD2F-4EC3-AB7B-E3A680E9CF11}"/>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A389568A-8537-4E4F-B6D6-68107D4F5808}"/>
    <cellStyle name="Comma 4 2 2 4 2 2 3" xfId="12274" xr:uid="{D6BD3B9F-CD1D-43EB-B50F-1DF3F0E528CC}"/>
    <cellStyle name="Comma 4 2 2 4 2 3" xfId="5020" xr:uid="{00000000-0005-0000-0000-00002E080000}"/>
    <cellStyle name="Comma 4 2 2 4 2 3 2" xfId="14346" xr:uid="{FFE2FC94-77CC-476B-B15F-E8A776D19318}"/>
    <cellStyle name="Comma 4 2 2 4 2 4" xfId="9418" xr:uid="{F2EB07B7-2227-485D-9411-A8F75EC2F9DA}"/>
    <cellStyle name="Comma 4 2 2 4 2 5" xfId="10129" xr:uid="{D01F05CC-4A2D-45B3-A53A-4C242E50D06E}"/>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E7B4936C-E9DD-4515-8486-F67783DB3956}"/>
    <cellStyle name="Comma 4 2 2 4 3 2 3" xfId="12687" xr:uid="{4CA53B84-4C4B-47F3-B561-03F84942B29D}"/>
    <cellStyle name="Comma 4 2 2 4 3 3" xfId="5433" xr:uid="{00000000-0005-0000-0000-000032080000}"/>
    <cellStyle name="Comma 4 2 2 4 3 3 2" xfId="14759" xr:uid="{7E1020D4-7679-406D-BFAA-88C8526292D4}"/>
    <cellStyle name="Comma 4 2 2 4 3 4" xfId="10542" xr:uid="{C23134FC-5FF1-4397-B97B-59801E224B32}"/>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18DFB20F-A468-4452-98EA-9C685002B916}"/>
    <cellStyle name="Comma 4 2 2 4 4 2 3" xfId="13100" xr:uid="{395EAFED-B9A5-4E75-B1C3-0254EA4FC85C}"/>
    <cellStyle name="Comma 4 2 2 4 4 3" xfId="5846" xr:uid="{00000000-0005-0000-0000-000036080000}"/>
    <cellStyle name="Comma 4 2 2 4 4 3 2" xfId="15172" xr:uid="{401941B3-00B2-432B-B992-249FEBD56358}"/>
    <cellStyle name="Comma 4 2 2 4 4 4" xfId="10955" xr:uid="{C6E90395-EC89-444B-A0C4-DFC1108B0B72}"/>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DBB6D4C5-C51B-4DC6-8D7A-EEDA535311E8}"/>
    <cellStyle name="Comma 4 2 2 4 5 2 3" xfId="13513" xr:uid="{7EC34B92-C841-4C39-8455-3B749B8BBB28}"/>
    <cellStyle name="Comma 4 2 2 4 5 3" xfId="6259" xr:uid="{00000000-0005-0000-0000-00003A080000}"/>
    <cellStyle name="Comma 4 2 2 4 5 3 2" xfId="15585" xr:uid="{D612EB22-4FAD-46E1-A3C4-BA152B71ECC2}"/>
    <cellStyle name="Comma 4 2 2 4 5 4" xfId="11368" xr:uid="{7F825656-FA42-435A-A0CB-FD586C17840A}"/>
    <cellStyle name="Comma 4 2 2 4 6" xfId="2388" xr:uid="{00000000-0005-0000-0000-00003B080000}"/>
    <cellStyle name="Comma 4 2 2 4 6 2" xfId="6672" xr:uid="{00000000-0005-0000-0000-00003C080000}"/>
    <cellStyle name="Comma 4 2 2 4 6 2 2" xfId="15998" xr:uid="{1C003C29-A846-467C-B8C2-17DF1B6FAA61}"/>
    <cellStyle name="Comma 4 2 2 4 6 3" xfId="11781" xr:uid="{544E44DE-E0DB-4E6A-AF1D-F5C0FB4C4701}"/>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656093A8-6E22-44E3-93ED-6A0D180B6EBC}"/>
    <cellStyle name="Comma 4 2 2 4 8 3" xfId="12098" xr:uid="{C9124F63-A060-46A2-BAC0-B59F3AD2BD07}"/>
    <cellStyle name="Comma 4 2 2 4 9" xfId="4606" xr:uid="{00000000-0005-0000-0000-000040080000}"/>
    <cellStyle name="Comma 4 2 2 4 9 2" xfId="13932" xr:uid="{7F1C2CAF-4D00-42B3-8B6A-24A2F138D890}"/>
    <cellStyle name="Comma 4 2 2 5" xfId="135" xr:uid="{00000000-0005-0000-0000-000041080000}"/>
    <cellStyle name="Comma 4 2 2 5 10" xfId="9210" xr:uid="{C1F9418B-EF96-4063-883D-A983E131C6A4}"/>
    <cellStyle name="Comma 4 2 2 5 11" xfId="9716" xr:uid="{FA2D6F95-3B25-449A-9B73-E36815D3650D}"/>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14ABC40D-549A-4EB8-99A8-25DEC453BD03}"/>
    <cellStyle name="Comma 4 2 2 5 2 2 3" xfId="12275" xr:uid="{3136D031-5AAF-4B63-9FF0-E5780EC6FED9}"/>
    <cellStyle name="Comma 4 2 2 5 2 3" xfId="5021" xr:uid="{00000000-0005-0000-0000-000045080000}"/>
    <cellStyle name="Comma 4 2 2 5 2 3 2" xfId="14347" xr:uid="{916DB32A-D426-4079-846C-16EE6BEAAC41}"/>
    <cellStyle name="Comma 4 2 2 5 2 4" xfId="9593" xr:uid="{3B41C66E-2108-4CBE-9776-211459781E55}"/>
    <cellStyle name="Comma 4 2 2 5 2 5" xfId="10130" xr:uid="{E17D43A9-6022-4C2E-8AAE-896C7A8FCB43}"/>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BB2471C4-65CF-4943-8F39-8FF7A6F594B5}"/>
    <cellStyle name="Comma 4 2 2 5 3 2 3" xfId="12688" xr:uid="{F251E241-05ED-4575-BBC7-8E0650D964C0}"/>
    <cellStyle name="Comma 4 2 2 5 3 3" xfId="5434" xr:uid="{00000000-0005-0000-0000-000049080000}"/>
    <cellStyle name="Comma 4 2 2 5 3 3 2" xfId="14760" xr:uid="{68B485EA-16E5-43CF-8139-BB00DC2C5F32}"/>
    <cellStyle name="Comma 4 2 2 5 3 4" xfId="10543" xr:uid="{F1452912-2944-4BB9-891D-2E9F186C5069}"/>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F499C971-BDE5-4F17-984F-9F8749DD4E98}"/>
    <cellStyle name="Comma 4 2 2 5 4 2 3" xfId="13101" xr:uid="{29C79DCB-F077-4A67-8031-47C8CAD7260E}"/>
    <cellStyle name="Comma 4 2 2 5 4 3" xfId="5847" xr:uid="{00000000-0005-0000-0000-00004D080000}"/>
    <cellStyle name="Comma 4 2 2 5 4 3 2" xfId="15173" xr:uid="{C9D06EBA-FAF2-4078-8B2A-C3A447644DCE}"/>
    <cellStyle name="Comma 4 2 2 5 4 4" xfId="10956" xr:uid="{5EC90341-E1D3-4530-9E12-19266C2D0477}"/>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ED8536BB-9698-4AEE-A4A5-B1880DF2533E}"/>
    <cellStyle name="Comma 4 2 2 5 5 2 3" xfId="13514" xr:uid="{336B04B4-120B-41D4-8811-EE3D59502931}"/>
    <cellStyle name="Comma 4 2 2 5 5 3" xfId="6260" xr:uid="{00000000-0005-0000-0000-000051080000}"/>
    <cellStyle name="Comma 4 2 2 5 5 3 2" xfId="15586" xr:uid="{E802D4AE-6109-49BB-94E1-6FABDC566F7F}"/>
    <cellStyle name="Comma 4 2 2 5 5 4" xfId="11369" xr:uid="{2B60C632-0251-435E-BE51-080E0A3EC08A}"/>
    <cellStyle name="Comma 4 2 2 5 6" xfId="2389" xr:uid="{00000000-0005-0000-0000-000052080000}"/>
    <cellStyle name="Comma 4 2 2 5 6 2" xfId="6673" xr:uid="{00000000-0005-0000-0000-000053080000}"/>
    <cellStyle name="Comma 4 2 2 5 6 2 2" xfId="15999" xr:uid="{A9EED7A9-B98D-4E9B-884E-FA664127D148}"/>
    <cellStyle name="Comma 4 2 2 5 6 3" xfId="11782" xr:uid="{EE444F4E-E2E2-437D-8F59-CDE3D97235AA}"/>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BF07C18B-EE47-48AB-B8B6-1DBC700B97AB}"/>
    <cellStyle name="Comma 4 2 2 5 8 3" xfId="12099" xr:uid="{C5FCA8FE-B460-4049-AADB-6262E059C3CC}"/>
    <cellStyle name="Comma 4 2 2 5 9" xfId="4607" xr:uid="{00000000-0005-0000-0000-000057080000}"/>
    <cellStyle name="Comma 4 2 2 5 9 2" xfId="13933" xr:uid="{050ADA0D-1D94-441A-914C-F77F1FDCB33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0 2 2" xfId="16317" xr:uid="{9967220B-C685-4055-A1EC-5184BA812718}"/>
    <cellStyle name="Comma 4 2 3 10 3" xfId="12100" xr:uid="{A4D2D2F0-C139-4E58-B51D-77E4E0EE893F}"/>
    <cellStyle name="Comma 4 2 3 11" xfId="4608" xr:uid="{00000000-0005-0000-0000-00005B080000}"/>
    <cellStyle name="Comma 4 2 3 11 2" xfId="13934" xr:uid="{D8E1EEC4-F4C0-40B5-9B8E-077E80E79CC0}"/>
    <cellStyle name="Comma 4 2 3 12" xfId="8805" xr:uid="{C45527F6-07B7-4887-BAF3-A6424444BA3B}"/>
    <cellStyle name="Comma 4 2 3 13" xfId="9717" xr:uid="{9A14EE2B-046A-4F95-AB96-87DCC675D86A}"/>
    <cellStyle name="Comma 4 2 3 2" xfId="137" xr:uid="{00000000-0005-0000-0000-00005C080000}"/>
    <cellStyle name="Comma 4 2 3 2 10" xfId="4609" xr:uid="{00000000-0005-0000-0000-00005D080000}"/>
    <cellStyle name="Comma 4 2 3 2 10 2" xfId="13935" xr:uid="{EA06B4B0-2FDB-4695-B557-B852C6BC607E}"/>
    <cellStyle name="Comma 4 2 3 2 11" xfId="8908" xr:uid="{E7021C11-E6EB-4392-A0AD-2A78F42B4BB7}"/>
    <cellStyle name="Comma 4 2 3 2 12" xfId="9718" xr:uid="{17C17AF5-221E-4A15-B9E4-09EF80889E6B}"/>
    <cellStyle name="Comma 4 2 3 2 2" xfId="138" xr:uid="{00000000-0005-0000-0000-00005E080000}"/>
    <cellStyle name="Comma 4 2 3 2 2 10" xfId="9115" xr:uid="{1A31CCC4-B2C0-4E0C-B714-855521500FE8}"/>
    <cellStyle name="Comma 4 2 3 2 2 11" xfId="9719" xr:uid="{0A23AD8B-DBA9-48B4-A77B-0A6DEFC64D55}"/>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276B241B-AB1C-4083-8860-E6BB58930A0C}"/>
    <cellStyle name="Comma 4 2 3 2 2 2 2 3" xfId="12278" xr:uid="{0C1E07A2-B3F8-4218-B854-32503B1D237E}"/>
    <cellStyle name="Comma 4 2 3 2 2 2 3" xfId="5024" xr:uid="{00000000-0005-0000-0000-000062080000}"/>
    <cellStyle name="Comma 4 2 3 2 2 2 3 2" xfId="14350" xr:uid="{325EC3B4-0C3B-46A9-A880-E251EEC2174C}"/>
    <cellStyle name="Comma 4 2 3 2 2 2 4" xfId="9540" xr:uid="{F922DD27-FEAE-4DB6-894F-26CD58815668}"/>
    <cellStyle name="Comma 4 2 3 2 2 2 5" xfId="10133" xr:uid="{8BDBC0CA-60FD-4D91-9499-16F19532F740}"/>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9A44B029-2EB3-4AE7-B5A7-87FC5E35FF18}"/>
    <cellStyle name="Comma 4 2 3 2 2 3 2 3" xfId="12691" xr:uid="{91F00580-0009-43E8-9FB3-5D60A5E9F16A}"/>
    <cellStyle name="Comma 4 2 3 2 2 3 3" xfId="5437" xr:uid="{00000000-0005-0000-0000-000066080000}"/>
    <cellStyle name="Comma 4 2 3 2 2 3 3 2" xfId="14763" xr:uid="{03B5D05C-19A8-401E-A2F1-9EB15619C960}"/>
    <cellStyle name="Comma 4 2 3 2 2 3 4" xfId="10546" xr:uid="{35B36894-1A2B-4C15-A9EC-33BB836A2EF4}"/>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833122E8-937D-447C-AEBD-6918CDB3DEFD}"/>
    <cellStyle name="Comma 4 2 3 2 2 4 2 3" xfId="13104" xr:uid="{384EAA94-735F-4562-A9F6-42404356E587}"/>
    <cellStyle name="Comma 4 2 3 2 2 4 3" xfId="5850" xr:uid="{00000000-0005-0000-0000-00006A080000}"/>
    <cellStyle name="Comma 4 2 3 2 2 4 3 2" xfId="15176" xr:uid="{5A7793C0-13F7-4FBF-8F91-5CD1A10786B4}"/>
    <cellStyle name="Comma 4 2 3 2 2 4 4" xfId="10959" xr:uid="{56CC49ED-7D56-436B-82C2-19CC1844F1CC}"/>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5CCAD220-702C-4FC1-BE79-20B156597783}"/>
    <cellStyle name="Comma 4 2 3 2 2 5 2 3" xfId="13517" xr:uid="{C7EC44BE-6FE8-4C76-9019-CA7B8C538F4C}"/>
    <cellStyle name="Comma 4 2 3 2 2 5 3" xfId="6263" xr:uid="{00000000-0005-0000-0000-00006E080000}"/>
    <cellStyle name="Comma 4 2 3 2 2 5 3 2" xfId="15589" xr:uid="{057E77E3-3F71-414B-9027-922DBA0FB15D}"/>
    <cellStyle name="Comma 4 2 3 2 2 5 4" xfId="11372" xr:uid="{A5E2348B-FADF-4961-AEE9-B921A31C55B4}"/>
    <cellStyle name="Comma 4 2 3 2 2 6" xfId="2392" xr:uid="{00000000-0005-0000-0000-00006F080000}"/>
    <cellStyle name="Comma 4 2 3 2 2 6 2" xfId="6676" xr:uid="{00000000-0005-0000-0000-000070080000}"/>
    <cellStyle name="Comma 4 2 3 2 2 6 2 2" xfId="16002" xr:uid="{126121E4-3466-421A-B8C1-34FC5BC30172}"/>
    <cellStyle name="Comma 4 2 3 2 2 6 3" xfId="11785" xr:uid="{83E1A5F3-20D1-4073-AE2C-2E63906A8A5A}"/>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ED118AE6-5F12-4939-BB79-725D63C067B4}"/>
    <cellStyle name="Comma 4 2 3 2 2 8 3" xfId="12102" xr:uid="{B2DC08E6-4831-47D6-9103-5D797907EFDD}"/>
    <cellStyle name="Comma 4 2 3 2 2 9" xfId="4610" xr:uid="{00000000-0005-0000-0000-000074080000}"/>
    <cellStyle name="Comma 4 2 3 2 2 9 2" xfId="13936" xr:uid="{B3896A72-BA4D-491C-B3C8-48F01CF49057}"/>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AEFAEED1-E976-4FAA-974D-826B544E7272}"/>
    <cellStyle name="Comma 4 2 3 2 3 2 3" xfId="12277" xr:uid="{99CE83BD-AD55-4976-AD47-27DBF51EB1FF}"/>
    <cellStyle name="Comma 4 2 3 2 3 3" xfId="5023" xr:uid="{00000000-0005-0000-0000-000078080000}"/>
    <cellStyle name="Comma 4 2 3 2 3 3 2" xfId="14349" xr:uid="{4F419499-14D7-4BDB-B102-FA527787E551}"/>
    <cellStyle name="Comma 4 2 3 2 3 4" xfId="9333" xr:uid="{5C974796-1B06-4FA8-AB2A-F6B34628ACD4}"/>
    <cellStyle name="Comma 4 2 3 2 3 5" xfId="10132" xr:uid="{2E90C445-EC98-4D17-83AB-DADD5F36F0D8}"/>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2A2E1056-33A9-4476-B9A8-45FEDE3E16DB}"/>
    <cellStyle name="Comma 4 2 3 2 4 2 3" xfId="12690" xr:uid="{C61028DD-621E-4466-BF00-30E067FFFF05}"/>
    <cellStyle name="Comma 4 2 3 2 4 3" xfId="5436" xr:uid="{00000000-0005-0000-0000-00007C080000}"/>
    <cellStyle name="Comma 4 2 3 2 4 3 2" xfId="14762" xr:uid="{FA6971AC-1074-4824-A00D-8293840B7F48}"/>
    <cellStyle name="Comma 4 2 3 2 4 4" xfId="10545" xr:uid="{6A34B094-DF9D-4E0B-991E-75C255719291}"/>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B5B168DF-66B8-44B5-A310-F193F254AF77}"/>
    <cellStyle name="Comma 4 2 3 2 5 2 3" xfId="13103" xr:uid="{12127AEB-BC9D-422C-B13F-0757A2E7DCA2}"/>
    <cellStyle name="Comma 4 2 3 2 5 3" xfId="5849" xr:uid="{00000000-0005-0000-0000-000080080000}"/>
    <cellStyle name="Comma 4 2 3 2 5 3 2" xfId="15175" xr:uid="{6342D8AA-9C58-4135-BCBA-779DEFDCEF28}"/>
    <cellStyle name="Comma 4 2 3 2 5 4" xfId="10958" xr:uid="{30D9C0C9-89EB-461B-B81B-611DCD1D4FD0}"/>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60A789D1-E909-49B8-AB48-FA5EE9CA6341}"/>
    <cellStyle name="Comma 4 2 3 2 6 2 3" xfId="13516" xr:uid="{A9BE655F-933E-41CD-A3BD-8DC720874ADA}"/>
    <cellStyle name="Comma 4 2 3 2 6 3" xfId="6262" xr:uid="{00000000-0005-0000-0000-000084080000}"/>
    <cellStyle name="Comma 4 2 3 2 6 3 2" xfId="15588" xr:uid="{D4A543DF-4481-400F-AA06-419D76110229}"/>
    <cellStyle name="Comma 4 2 3 2 6 4" xfId="11371" xr:uid="{1FD4AFA2-C544-4A0C-95AA-C6BB3E43E642}"/>
    <cellStyle name="Comma 4 2 3 2 7" xfId="2391" xr:uid="{00000000-0005-0000-0000-000085080000}"/>
    <cellStyle name="Comma 4 2 3 2 7 2" xfId="6675" xr:uid="{00000000-0005-0000-0000-000086080000}"/>
    <cellStyle name="Comma 4 2 3 2 7 2 2" xfId="16001" xr:uid="{AD337E20-B3F9-49C4-AAD0-2A7818DD6595}"/>
    <cellStyle name="Comma 4 2 3 2 7 3" xfId="11784" xr:uid="{016C49FD-8CB6-47E5-9294-F21C964323B3}"/>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8B8D7EDC-6DD1-478B-8307-172B420DF69B}"/>
    <cellStyle name="Comma 4 2 3 2 9 3" xfId="12101" xr:uid="{782F3513-9652-4CDB-9DAF-66F05563F86E}"/>
    <cellStyle name="Comma 4 2 3 3" xfId="139" xr:uid="{00000000-0005-0000-0000-00008A080000}"/>
    <cellStyle name="Comma 4 2 3 3 10" xfId="9012" xr:uid="{61C0F117-76A9-43CA-B381-88B2CFF6294C}"/>
    <cellStyle name="Comma 4 2 3 3 11" xfId="9720" xr:uid="{033A1721-74B4-486E-A567-06BCF94556C0}"/>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7619DF14-DE6D-49F2-B840-33C73B1D65D5}"/>
    <cellStyle name="Comma 4 2 3 3 2 2 3" xfId="12279" xr:uid="{2290DDBE-8D1D-4DFC-97E2-8A5165D0E713}"/>
    <cellStyle name="Comma 4 2 3 3 2 3" xfId="5025" xr:uid="{00000000-0005-0000-0000-00008E080000}"/>
    <cellStyle name="Comma 4 2 3 3 2 3 2" xfId="14351" xr:uid="{EC9CBAD4-84BE-4F03-A57F-3BC0E90AB3DE}"/>
    <cellStyle name="Comma 4 2 3 3 2 4" xfId="9437" xr:uid="{35C6809B-E49F-4A7F-8CB1-650474E72B0A}"/>
    <cellStyle name="Comma 4 2 3 3 2 5" xfId="10134" xr:uid="{97B61390-675C-412B-BF3A-5C68CCFD9D1F}"/>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82AF5C24-BCE8-4C78-9021-9E019F815C69}"/>
    <cellStyle name="Comma 4 2 3 3 3 2 3" xfId="12692" xr:uid="{019E185F-27B4-4954-BABF-AC81E0565C1E}"/>
    <cellStyle name="Comma 4 2 3 3 3 3" xfId="5438" xr:uid="{00000000-0005-0000-0000-000092080000}"/>
    <cellStyle name="Comma 4 2 3 3 3 3 2" xfId="14764" xr:uid="{FFE52CC0-6A58-48D5-851C-10C6E7C53371}"/>
    <cellStyle name="Comma 4 2 3 3 3 4" xfId="10547" xr:uid="{CFD4CB88-000C-4FCF-BE3C-BBE4F1AF0B52}"/>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E68D9796-71C2-4BC6-9C6E-B288ACD2F63D}"/>
    <cellStyle name="Comma 4 2 3 3 4 2 3" xfId="13105" xr:uid="{7B3110BE-40EA-438F-A946-636388C5496C}"/>
    <cellStyle name="Comma 4 2 3 3 4 3" xfId="5851" xr:uid="{00000000-0005-0000-0000-000096080000}"/>
    <cellStyle name="Comma 4 2 3 3 4 3 2" xfId="15177" xr:uid="{BC4B6805-8090-4A00-B8EB-D0278F8E0129}"/>
    <cellStyle name="Comma 4 2 3 3 4 4" xfId="10960" xr:uid="{9C793881-5502-4286-BDB1-A53E8A6F2E8A}"/>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1BC40C86-F422-4CA3-BFD9-0D01FB2A21E2}"/>
    <cellStyle name="Comma 4 2 3 3 5 2 3" xfId="13518" xr:uid="{A9D40901-D11E-41B9-940C-721D11E5628D}"/>
    <cellStyle name="Comma 4 2 3 3 5 3" xfId="6264" xr:uid="{00000000-0005-0000-0000-00009A080000}"/>
    <cellStyle name="Comma 4 2 3 3 5 3 2" xfId="15590" xr:uid="{90A72712-7637-4962-9716-D27C86AD130E}"/>
    <cellStyle name="Comma 4 2 3 3 5 4" xfId="11373" xr:uid="{A658DB16-D8B5-4BD6-A771-6B9D3D4812BA}"/>
    <cellStyle name="Comma 4 2 3 3 6" xfId="2393" xr:uid="{00000000-0005-0000-0000-00009B080000}"/>
    <cellStyle name="Comma 4 2 3 3 6 2" xfId="6677" xr:uid="{00000000-0005-0000-0000-00009C080000}"/>
    <cellStyle name="Comma 4 2 3 3 6 2 2" xfId="16003" xr:uid="{9C7E52C6-C29C-4A67-86BF-CD0FF72C2C67}"/>
    <cellStyle name="Comma 4 2 3 3 6 3" xfId="11786" xr:uid="{FFEF52F6-E086-4DC6-AC02-A5E249A7BAA6}"/>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22B00340-792A-454E-9D7D-73079CA3F4AC}"/>
    <cellStyle name="Comma 4 2 3 3 8 3" xfId="12103" xr:uid="{9802BD52-0774-4E71-9726-20BD05F036DC}"/>
    <cellStyle name="Comma 4 2 3 3 9" xfId="4611" xr:uid="{00000000-0005-0000-0000-0000A0080000}"/>
    <cellStyle name="Comma 4 2 3 3 9 2" xfId="13937" xr:uid="{A8B589EE-7E37-462A-99E4-B6986F2E7652}"/>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D82BA2E1-2932-4965-BF21-1D527E9EF9EF}"/>
    <cellStyle name="Comma 4 2 3 4 2 3" xfId="12276" xr:uid="{A04A8058-C04E-4529-BFDB-4DD2172E8834}"/>
    <cellStyle name="Comma 4 2 3 4 3" xfId="5022" xr:uid="{00000000-0005-0000-0000-0000A4080000}"/>
    <cellStyle name="Comma 4 2 3 4 3 2" xfId="14348" xr:uid="{728096A3-C413-4C37-91A6-E08615B6E32E}"/>
    <cellStyle name="Comma 4 2 3 4 4" xfId="9230" xr:uid="{24B6B749-023F-4009-8785-C6CFE1098E24}"/>
    <cellStyle name="Comma 4 2 3 4 5" xfId="10131" xr:uid="{35E97B02-4302-4808-9BE9-2C9470D09413}"/>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46551A3B-706E-43EF-BC21-39C1618A7FE0}"/>
    <cellStyle name="Comma 4 2 3 5 2 3" xfId="12689" xr:uid="{107CA827-93BC-41B1-BCF1-D94CA08B9A64}"/>
    <cellStyle name="Comma 4 2 3 5 3" xfId="5435" xr:uid="{00000000-0005-0000-0000-0000A8080000}"/>
    <cellStyle name="Comma 4 2 3 5 3 2" xfId="14761" xr:uid="{A2F9FE90-E0B2-4EB8-B4B0-A705BE7AAA0F}"/>
    <cellStyle name="Comma 4 2 3 5 4" xfId="10544" xr:uid="{940E2FCF-F9D1-49B8-92ED-2ED216AC0A19}"/>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A39E3D8D-4E0D-4645-895C-3759C6121F4E}"/>
    <cellStyle name="Comma 4 2 3 6 2 3" xfId="13102" xr:uid="{BA4B9BE4-DE2E-4897-8EA9-C1769301E22B}"/>
    <cellStyle name="Comma 4 2 3 6 3" xfId="5848" xr:uid="{00000000-0005-0000-0000-0000AC080000}"/>
    <cellStyle name="Comma 4 2 3 6 3 2" xfId="15174" xr:uid="{49DA158B-7299-4835-8037-5056B30036C5}"/>
    <cellStyle name="Comma 4 2 3 6 4" xfId="10957" xr:uid="{2BA58E89-8A3B-48BD-8B99-5359430F7745}"/>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F8760E1E-E2C6-4078-BEBC-69162A11EB3F}"/>
    <cellStyle name="Comma 4 2 3 7 2 3" xfId="13515" xr:uid="{8D719E62-77D6-4EAD-98E0-F1528056659D}"/>
    <cellStyle name="Comma 4 2 3 7 3" xfId="6261" xr:uid="{00000000-0005-0000-0000-0000B0080000}"/>
    <cellStyle name="Comma 4 2 3 7 3 2" xfId="15587" xr:uid="{732AD8AB-4A88-49AB-93B3-72F77C37E8D4}"/>
    <cellStyle name="Comma 4 2 3 7 4" xfId="11370" xr:uid="{22451361-BC16-4999-A4D2-9C7383FE91E8}"/>
    <cellStyle name="Comma 4 2 3 8" xfId="2390" xr:uid="{00000000-0005-0000-0000-0000B1080000}"/>
    <cellStyle name="Comma 4 2 3 8 2" xfId="6674" xr:uid="{00000000-0005-0000-0000-0000B2080000}"/>
    <cellStyle name="Comma 4 2 3 8 2 2" xfId="16000" xr:uid="{F4F2ED02-4A47-43F2-9DD9-8A637AA95915}"/>
    <cellStyle name="Comma 4 2 3 8 3" xfId="11783" xr:uid="{11B0B47B-CA02-44E5-A6BD-1030183DA9B7}"/>
    <cellStyle name="Comma 4 2 3 9" xfId="2373" xr:uid="{00000000-0005-0000-0000-0000B3080000}"/>
    <cellStyle name="Comma 4 2 4" xfId="140" xr:uid="{00000000-0005-0000-0000-0000B4080000}"/>
    <cellStyle name="Comma 4 2 4 10" xfId="4612" xr:uid="{00000000-0005-0000-0000-0000B5080000}"/>
    <cellStyle name="Comma 4 2 4 10 2" xfId="13938" xr:uid="{D0F34313-9308-4F54-83E8-ACEA07F20B18}"/>
    <cellStyle name="Comma 4 2 4 11" xfId="8858" xr:uid="{B6A00C95-D04C-44B2-B8AF-67540882256C}"/>
    <cellStyle name="Comma 4 2 4 12" xfId="9721" xr:uid="{7565E201-D3A2-4511-8D57-6B666C4AA0EB}"/>
    <cellStyle name="Comma 4 2 4 2" xfId="141" xr:uid="{00000000-0005-0000-0000-0000B6080000}"/>
    <cellStyle name="Comma 4 2 4 2 10" xfId="9065" xr:uid="{961AA06A-D943-447E-AADB-49B440E7E7CE}"/>
    <cellStyle name="Comma 4 2 4 2 11" xfId="9722" xr:uid="{8C5D81EC-DCD2-431D-9952-78AFD272FB72}"/>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8C7C6C99-608B-4E6E-9D8F-2F59C8B3E78C}"/>
    <cellStyle name="Comma 4 2 4 2 2 2 3" xfId="12281" xr:uid="{130805AF-FC5A-4EB8-83EB-1D7C1826FA57}"/>
    <cellStyle name="Comma 4 2 4 2 2 3" xfId="5027" xr:uid="{00000000-0005-0000-0000-0000BA080000}"/>
    <cellStyle name="Comma 4 2 4 2 2 3 2" xfId="14353" xr:uid="{0C4A4658-7B79-4D1C-9453-1095EC8D0AAA}"/>
    <cellStyle name="Comma 4 2 4 2 2 4" xfId="9490" xr:uid="{2FAEB1E6-7B41-437B-B2A9-4352AB4F4B98}"/>
    <cellStyle name="Comma 4 2 4 2 2 5" xfId="10136" xr:uid="{732BB6A7-5C9D-4C4D-970D-BEE6DB04804F}"/>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EF8364E0-8A28-4333-9246-C3E1906F2B2C}"/>
    <cellStyle name="Comma 4 2 4 2 3 2 3" xfId="12694" xr:uid="{71F17BEA-DF32-4539-BEC0-F983C2DBD7F0}"/>
    <cellStyle name="Comma 4 2 4 2 3 3" xfId="5440" xr:uid="{00000000-0005-0000-0000-0000BE080000}"/>
    <cellStyle name="Comma 4 2 4 2 3 3 2" xfId="14766" xr:uid="{AE739E26-4E13-493C-9ABD-3D8963CB84C5}"/>
    <cellStyle name="Comma 4 2 4 2 3 4" xfId="10549" xr:uid="{2A5788AB-8262-40DD-8CDD-5582ED117C61}"/>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4A5D79B5-9ACC-495A-8970-DBE06BCB4E4F}"/>
    <cellStyle name="Comma 4 2 4 2 4 2 3" xfId="13107" xr:uid="{08CFB217-A894-40F6-8EE4-F2D0F664D1E4}"/>
    <cellStyle name="Comma 4 2 4 2 4 3" xfId="5853" xr:uid="{00000000-0005-0000-0000-0000C2080000}"/>
    <cellStyle name="Comma 4 2 4 2 4 3 2" xfId="15179" xr:uid="{9973B5A3-34B7-427D-AB7A-881539794784}"/>
    <cellStyle name="Comma 4 2 4 2 4 4" xfId="10962" xr:uid="{E57931D6-9FBC-415F-897E-3C643A47488B}"/>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35DAF5C6-14DB-4731-BAC4-EDDF40CB0800}"/>
    <cellStyle name="Comma 4 2 4 2 5 2 3" xfId="13520" xr:uid="{DD66B8F1-5D86-4EF7-94F0-2F3ADE55AEBD}"/>
    <cellStyle name="Comma 4 2 4 2 5 3" xfId="6266" xr:uid="{00000000-0005-0000-0000-0000C6080000}"/>
    <cellStyle name="Comma 4 2 4 2 5 3 2" xfId="15592" xr:uid="{09718CCB-ECB9-455D-B378-324A3D3AE78B}"/>
    <cellStyle name="Comma 4 2 4 2 5 4" xfId="11375" xr:uid="{30EB0AC1-CDA3-46EF-99E8-CFF31F57C374}"/>
    <cellStyle name="Comma 4 2 4 2 6" xfId="2395" xr:uid="{00000000-0005-0000-0000-0000C7080000}"/>
    <cellStyle name="Comma 4 2 4 2 6 2" xfId="6679" xr:uid="{00000000-0005-0000-0000-0000C8080000}"/>
    <cellStyle name="Comma 4 2 4 2 6 2 2" xfId="16005" xr:uid="{B36AAE24-D3B3-4AE5-9675-47AE5950323C}"/>
    <cellStyle name="Comma 4 2 4 2 6 3" xfId="11788" xr:uid="{2DDDB676-8D36-44D2-B76E-640F52C1743C}"/>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EE396EA6-6CEC-476C-A144-80E0C41115AF}"/>
    <cellStyle name="Comma 4 2 4 2 8 3" xfId="12105" xr:uid="{B90F5ADE-6DC8-4378-A505-C84F9A40C80D}"/>
    <cellStyle name="Comma 4 2 4 2 9" xfId="4613" xr:uid="{00000000-0005-0000-0000-0000CC080000}"/>
    <cellStyle name="Comma 4 2 4 2 9 2" xfId="13939" xr:uid="{9788EB39-E592-44B1-AA84-68859E9EF053}"/>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F797D3FF-A7BD-4AF8-979D-B06B6327619C}"/>
    <cellStyle name="Comma 4 2 4 3 2 3" xfId="12280" xr:uid="{A8DC8A11-D776-4407-90BB-AE91E7661F6E}"/>
    <cellStyle name="Comma 4 2 4 3 3" xfId="5026" xr:uid="{00000000-0005-0000-0000-0000D0080000}"/>
    <cellStyle name="Comma 4 2 4 3 3 2" xfId="14352" xr:uid="{FA129ABA-FD5E-4AFC-A3ED-05166F957AD9}"/>
    <cellStyle name="Comma 4 2 4 3 4" xfId="9283" xr:uid="{7E46ED3C-A8F4-4512-93D9-5F41F1AC397C}"/>
    <cellStyle name="Comma 4 2 4 3 5" xfId="10135" xr:uid="{B92A21BC-C148-4FC4-96DB-4D1F8B200B24}"/>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E66C1DF6-B85B-45F2-AD0B-B85D91A73848}"/>
    <cellStyle name="Comma 4 2 4 4 2 3" xfId="12693" xr:uid="{9E0A7F84-5DDD-4595-880B-F9343DFC1CD5}"/>
    <cellStyle name="Comma 4 2 4 4 3" xfId="5439" xr:uid="{00000000-0005-0000-0000-0000D4080000}"/>
    <cellStyle name="Comma 4 2 4 4 3 2" xfId="14765" xr:uid="{67FA1DC8-3D50-48F3-89DC-8D1777F4548C}"/>
    <cellStyle name="Comma 4 2 4 4 4" xfId="10548" xr:uid="{EE2D0A6A-E408-468A-A00D-EA74C4598949}"/>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56285C7C-3BF8-4269-B402-8D5B6FE7F9CF}"/>
    <cellStyle name="Comma 4 2 4 5 2 3" xfId="13106" xr:uid="{E4D4988A-0982-48DF-9CBC-BBE63AB8E219}"/>
    <cellStyle name="Comma 4 2 4 5 3" xfId="5852" xr:uid="{00000000-0005-0000-0000-0000D8080000}"/>
    <cellStyle name="Comma 4 2 4 5 3 2" xfId="15178" xr:uid="{330054B4-8503-489A-8217-C448A82AD2D6}"/>
    <cellStyle name="Comma 4 2 4 5 4" xfId="10961" xr:uid="{5BF6A547-C2F9-4972-AE63-5958A06F7F79}"/>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C25A9DE0-FF17-493C-9456-20142C1AB757}"/>
    <cellStyle name="Comma 4 2 4 6 2 3" xfId="13519" xr:uid="{642FACEB-8B38-46FB-9CB4-DECA71E45BA1}"/>
    <cellStyle name="Comma 4 2 4 6 3" xfId="6265" xr:uid="{00000000-0005-0000-0000-0000DC080000}"/>
    <cellStyle name="Comma 4 2 4 6 3 2" xfId="15591" xr:uid="{F4F4A02D-A54C-47CF-95BE-08E64566FEE4}"/>
    <cellStyle name="Comma 4 2 4 6 4" xfId="11374" xr:uid="{6A563A95-6988-4897-8B98-CFB10994B193}"/>
    <cellStyle name="Comma 4 2 4 7" xfId="2394" xr:uid="{00000000-0005-0000-0000-0000DD080000}"/>
    <cellStyle name="Comma 4 2 4 7 2" xfId="6678" xr:uid="{00000000-0005-0000-0000-0000DE080000}"/>
    <cellStyle name="Comma 4 2 4 7 2 2" xfId="16004" xr:uid="{649EF94A-E9AC-4378-AA3E-FDCCE683BBF6}"/>
    <cellStyle name="Comma 4 2 4 7 3" xfId="11787" xr:uid="{213A9464-4D89-457B-8B88-8A1EAE0CBFBD}"/>
    <cellStyle name="Comma 4 2 4 8" xfId="2369" xr:uid="{00000000-0005-0000-0000-0000DF080000}"/>
    <cellStyle name="Comma 4 2 4 9" xfId="2772" xr:uid="{00000000-0005-0000-0000-0000E0080000}"/>
    <cellStyle name="Comma 4 2 4 9 2" xfId="6995" xr:uid="{00000000-0005-0000-0000-0000E1080000}"/>
    <cellStyle name="Comma 4 2 4 9 2 2" xfId="16321" xr:uid="{54BC563C-851E-4E75-B848-13626874D289}"/>
    <cellStyle name="Comma 4 2 4 9 3" xfId="12104" xr:uid="{B48D05A5-F933-402B-9ADA-E78FDFC438C1}"/>
    <cellStyle name="Comma 4 2 5" xfId="142" xr:uid="{00000000-0005-0000-0000-0000E2080000}"/>
    <cellStyle name="Comma 4 2 5 10" xfId="8974" xr:uid="{86B0C89A-8A2D-4755-B15D-84E412E1D380}"/>
    <cellStyle name="Comma 4 2 5 11" xfId="9723" xr:uid="{978017CC-4D15-4DF5-BDC9-86C8710BECAC}"/>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FFD2638B-D0EA-4613-9DE6-A2A1ECB48F23}"/>
    <cellStyle name="Comma 4 2 5 2 2 3" xfId="12282" xr:uid="{F6FBED44-EEAA-47BE-8D8E-707D0B834621}"/>
    <cellStyle name="Comma 4 2 5 2 3" xfId="5028" xr:uid="{00000000-0005-0000-0000-0000E6080000}"/>
    <cellStyle name="Comma 4 2 5 2 3 2" xfId="14354" xr:uid="{76246F6E-709A-480D-9EF0-AFF5633A8F19}"/>
    <cellStyle name="Comma 4 2 5 2 4" xfId="9399" xr:uid="{1B388BC7-1FC6-4DC3-B345-755F61B57864}"/>
    <cellStyle name="Comma 4 2 5 2 5" xfId="10137" xr:uid="{8A54587F-56EC-4097-A640-0D37EABFD73B}"/>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616B350C-ED03-411C-BF89-767E2A9084C8}"/>
    <cellStyle name="Comma 4 2 5 3 2 3" xfId="12695" xr:uid="{3BA7C89A-60E7-4270-8253-BA631D755003}"/>
    <cellStyle name="Comma 4 2 5 3 3" xfId="5441" xr:uid="{00000000-0005-0000-0000-0000EA080000}"/>
    <cellStyle name="Comma 4 2 5 3 3 2" xfId="14767" xr:uid="{88B24B38-8E35-4E5F-BB0C-0E5F95E94552}"/>
    <cellStyle name="Comma 4 2 5 3 4" xfId="10550" xr:uid="{A6C7F8B1-6F86-480D-B9D4-3ACEDEDD515E}"/>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4BA58C97-DD8D-4465-A9A5-DFD43E2646C1}"/>
    <cellStyle name="Comma 4 2 5 4 2 3" xfId="13108" xr:uid="{C94FAFBB-B992-4D6A-942C-C025B3F70F3C}"/>
    <cellStyle name="Comma 4 2 5 4 3" xfId="5854" xr:uid="{00000000-0005-0000-0000-0000EE080000}"/>
    <cellStyle name="Comma 4 2 5 4 3 2" xfId="15180" xr:uid="{A1F7C668-E802-4CD5-9550-AF186F63C917}"/>
    <cellStyle name="Comma 4 2 5 4 4" xfId="10963" xr:uid="{C6D31B45-97E7-43FD-A37B-0810D7359904}"/>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923F0F59-E546-49EB-BEFA-543D6A76A9B3}"/>
    <cellStyle name="Comma 4 2 5 5 2 3" xfId="13521" xr:uid="{DEDDDCF0-1B8A-415B-B3BA-D3C8A8379E9B}"/>
    <cellStyle name="Comma 4 2 5 5 3" xfId="6267" xr:uid="{00000000-0005-0000-0000-0000F2080000}"/>
    <cellStyle name="Comma 4 2 5 5 3 2" xfId="15593" xr:uid="{652B4B97-CDC2-4771-9629-73A46E9E9FD8}"/>
    <cellStyle name="Comma 4 2 5 5 4" xfId="11376" xr:uid="{A60532C8-DE11-44A3-8BA8-9665812FAA08}"/>
    <cellStyle name="Comma 4 2 5 6" xfId="2396" xr:uid="{00000000-0005-0000-0000-0000F3080000}"/>
    <cellStyle name="Comma 4 2 5 6 2" xfId="6680" xr:uid="{00000000-0005-0000-0000-0000F4080000}"/>
    <cellStyle name="Comma 4 2 5 6 2 2" xfId="16006" xr:uid="{525B7097-8566-4098-B7CA-D9DD08E67384}"/>
    <cellStyle name="Comma 4 2 5 6 3" xfId="11789" xr:uid="{E631EBE6-94FF-471E-9D61-7090FA553822}"/>
    <cellStyle name="Comma 4 2 5 7" xfId="2367" xr:uid="{00000000-0005-0000-0000-0000F5080000}"/>
    <cellStyle name="Comma 4 2 5 8" xfId="2774" xr:uid="{00000000-0005-0000-0000-0000F6080000}"/>
    <cellStyle name="Comma 4 2 5 8 2" xfId="6997" xr:uid="{00000000-0005-0000-0000-0000F7080000}"/>
    <cellStyle name="Comma 4 2 5 8 2 2" xfId="16323" xr:uid="{917BF414-0033-4643-B098-D73D38503345}"/>
    <cellStyle name="Comma 4 2 5 8 3" xfId="12106" xr:uid="{5F65974D-0E87-4CCC-9D57-69A70C7A9CD6}"/>
    <cellStyle name="Comma 4 2 5 9" xfId="4614" xr:uid="{00000000-0005-0000-0000-0000F8080000}"/>
    <cellStyle name="Comma 4 2 5 9 2" xfId="13940" xr:uid="{99F8EE73-CC10-4D4B-9186-858E50A62F95}"/>
    <cellStyle name="Comma 4 2 6" xfId="143" xr:uid="{00000000-0005-0000-0000-0000F9080000}"/>
    <cellStyle name="Comma 4 2 6 10" xfId="9177" xr:uid="{A20A3B72-7630-464F-8E57-DA2B9D6E44FB}"/>
    <cellStyle name="Comma 4 2 6 11" xfId="9724" xr:uid="{1B7E2FC1-9DC2-4C7B-9E38-8EA5D80FAC7C}"/>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BA522047-6C10-43A1-B1B6-FC9EAD4F0081}"/>
    <cellStyle name="Comma 4 2 6 2 2 3" xfId="12283" xr:uid="{3C388A7A-FCBE-45DB-A81E-B354646B0FA4}"/>
    <cellStyle name="Comma 4 2 6 2 3" xfId="5029" xr:uid="{00000000-0005-0000-0000-0000FD080000}"/>
    <cellStyle name="Comma 4 2 6 2 3 2" xfId="14355" xr:uid="{73EA47A6-3D6E-493F-8D3E-68E524FFEEBC}"/>
    <cellStyle name="Comma 4 2 6 2 4" xfId="9594" xr:uid="{CCB8D3FE-19FC-4F7F-9966-44FD23A1A32A}"/>
    <cellStyle name="Comma 4 2 6 2 5" xfId="10138" xr:uid="{333876A8-896D-4BFB-9E6A-2275504AAD9B}"/>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B2462488-2547-4001-93E8-ABA78F852AE3}"/>
    <cellStyle name="Comma 4 2 6 3 2 3" xfId="12696" xr:uid="{A0485643-BA6E-4B8F-B2B1-16C2C1580AA2}"/>
    <cellStyle name="Comma 4 2 6 3 3" xfId="5442" xr:uid="{00000000-0005-0000-0000-000001090000}"/>
    <cellStyle name="Comma 4 2 6 3 3 2" xfId="14768" xr:uid="{96E3ABF9-03F7-48AA-8FD7-EF9B190B7178}"/>
    <cellStyle name="Comma 4 2 6 3 4" xfId="10551" xr:uid="{188D02FC-469D-433B-946B-781D82F000EE}"/>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200CFB0E-6675-4104-AC4A-E0FF1D502DB3}"/>
    <cellStyle name="Comma 4 2 6 4 2 3" xfId="13109" xr:uid="{C31ABEE0-8831-4009-BF4F-2F3A1A46D963}"/>
    <cellStyle name="Comma 4 2 6 4 3" xfId="5855" xr:uid="{00000000-0005-0000-0000-000005090000}"/>
    <cellStyle name="Comma 4 2 6 4 3 2" xfId="15181" xr:uid="{2D3219D6-36AA-464C-B040-9D9FE88D687D}"/>
    <cellStyle name="Comma 4 2 6 4 4" xfId="10964" xr:uid="{27B0C45E-DCE8-43D5-8BF2-C42F9A4F4950}"/>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0481BF4A-9247-48CD-9B24-A6CA6EF8CE5E}"/>
    <cellStyle name="Comma 4 2 6 5 2 3" xfId="13522" xr:uid="{870A5DA0-81F2-4C54-A061-2F0EBBF5CC98}"/>
    <cellStyle name="Comma 4 2 6 5 3" xfId="6268" xr:uid="{00000000-0005-0000-0000-000009090000}"/>
    <cellStyle name="Comma 4 2 6 5 3 2" xfId="15594" xr:uid="{3A264F51-2375-4537-94BC-8DB463E94287}"/>
    <cellStyle name="Comma 4 2 6 5 4" xfId="11377" xr:uid="{997E61DA-6DDF-4FE8-A8EE-43D4EBDA8A74}"/>
    <cellStyle name="Comma 4 2 6 6" xfId="2397" xr:uid="{00000000-0005-0000-0000-00000A090000}"/>
    <cellStyle name="Comma 4 2 6 6 2" xfId="6681" xr:uid="{00000000-0005-0000-0000-00000B090000}"/>
    <cellStyle name="Comma 4 2 6 6 2 2" xfId="16007" xr:uid="{8433737E-7A4D-4C10-B29E-C68806D24BB3}"/>
    <cellStyle name="Comma 4 2 6 6 3" xfId="11790" xr:uid="{83B5C528-80B7-42B0-94A3-CEBF43D837B6}"/>
    <cellStyle name="Comma 4 2 6 7" xfId="2366" xr:uid="{00000000-0005-0000-0000-00000C090000}"/>
    <cellStyle name="Comma 4 2 6 8" xfId="2775" xr:uid="{00000000-0005-0000-0000-00000D090000}"/>
    <cellStyle name="Comma 4 2 6 8 2" xfId="6998" xr:uid="{00000000-0005-0000-0000-00000E090000}"/>
    <cellStyle name="Comma 4 2 6 8 2 2" xfId="16324" xr:uid="{EFB2A5A2-5EDC-4F70-9D90-2864D9A8D4DE}"/>
    <cellStyle name="Comma 4 2 6 8 3" xfId="12107" xr:uid="{7A6C5CC4-A070-4415-860A-810979635741}"/>
    <cellStyle name="Comma 4 2 6 9" xfId="4615" xr:uid="{00000000-0005-0000-0000-00000F090000}"/>
    <cellStyle name="Comma 4 2 6 9 2" xfId="13941" xr:uid="{111CFECC-EA61-4B93-988F-3C8B62A92B49}"/>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FCF03889-DD1B-4FBF-9FB2-E3D9CDE3BCFE}"/>
    <cellStyle name="Comma 4 3 2 10 3" xfId="12108" xr:uid="{DE19A9AB-D6DE-40E3-A8BA-3C9E8DCD93EA}"/>
    <cellStyle name="Comma 4 3 2 11" xfId="4616" xr:uid="{00000000-0005-0000-0000-000014090000}"/>
    <cellStyle name="Comma 4 3 2 11 2" xfId="13942" xr:uid="{EB2BFA9D-E1CB-4EA9-800F-D3B1C717333C}"/>
    <cellStyle name="Comma 4 3 2 12" xfId="8807" xr:uid="{5C5EF314-D0DB-425B-AE7D-D52FEEE90EC1}"/>
    <cellStyle name="Comma 4 3 2 13" xfId="9725" xr:uid="{181AEB91-A09A-4F81-BA91-4C68B4B66115}"/>
    <cellStyle name="Comma 4 3 2 2" xfId="146" xr:uid="{00000000-0005-0000-0000-000015090000}"/>
    <cellStyle name="Comma 4 3 2 2 10" xfId="4617" xr:uid="{00000000-0005-0000-0000-000016090000}"/>
    <cellStyle name="Comma 4 3 2 2 10 2" xfId="13943" xr:uid="{3425360C-A8B7-4AFC-B08E-888268C7B145}"/>
    <cellStyle name="Comma 4 3 2 2 11" xfId="8910" xr:uid="{15019DD0-71A0-438D-B796-68DE42B22692}"/>
    <cellStyle name="Comma 4 3 2 2 12" xfId="9726" xr:uid="{B3F15320-C38B-4203-BE25-872DDA73BF1A}"/>
    <cellStyle name="Comma 4 3 2 2 2" xfId="147" xr:uid="{00000000-0005-0000-0000-000017090000}"/>
    <cellStyle name="Comma 4 3 2 2 2 10" xfId="9117" xr:uid="{1409F531-DBF2-41E0-9C74-F9317358BA15}"/>
    <cellStyle name="Comma 4 3 2 2 2 11" xfId="9727" xr:uid="{1B3BA2AB-54C5-4C97-8ECB-8D6CDC38AD87}"/>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7BAF33B6-6174-4C61-96FB-FA4C52E2069B}"/>
    <cellStyle name="Comma 4 3 2 2 2 2 2 3" xfId="12286" xr:uid="{08E84402-2C43-4DF5-93F3-08C4F3171804}"/>
    <cellStyle name="Comma 4 3 2 2 2 2 3" xfId="5032" xr:uid="{00000000-0005-0000-0000-00001B090000}"/>
    <cellStyle name="Comma 4 3 2 2 2 2 3 2" xfId="14358" xr:uid="{CDC196F7-C156-4196-B703-0B7011386664}"/>
    <cellStyle name="Comma 4 3 2 2 2 2 4" xfId="9542" xr:uid="{26CD77CC-F017-4839-8245-BBF245D45E53}"/>
    <cellStyle name="Comma 4 3 2 2 2 2 5" xfId="10141" xr:uid="{56D8D1C1-E000-49DD-AAC2-AC3F81D555BB}"/>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A14E07F4-5E9B-4D95-BDB3-6FB037E9AF43}"/>
    <cellStyle name="Comma 4 3 2 2 2 3 2 3" xfId="12699" xr:uid="{A48E5E6A-C952-41F9-A63D-6DE74FCE953B}"/>
    <cellStyle name="Comma 4 3 2 2 2 3 3" xfId="5445" xr:uid="{00000000-0005-0000-0000-00001F090000}"/>
    <cellStyle name="Comma 4 3 2 2 2 3 3 2" xfId="14771" xr:uid="{515ED632-00A9-4975-993C-E1516CBB7F92}"/>
    <cellStyle name="Comma 4 3 2 2 2 3 4" xfId="10554" xr:uid="{02A6D152-DAD7-4606-A51B-F7466BA3E506}"/>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22072597-7067-4AC4-A509-923F61EBF7BF}"/>
    <cellStyle name="Comma 4 3 2 2 2 4 2 3" xfId="13112" xr:uid="{FC5226BD-867F-4951-8514-0096C2CC1904}"/>
    <cellStyle name="Comma 4 3 2 2 2 4 3" xfId="5858" xr:uid="{00000000-0005-0000-0000-000023090000}"/>
    <cellStyle name="Comma 4 3 2 2 2 4 3 2" xfId="15184" xr:uid="{111AA0CB-98EA-47A1-94EF-581672A3AF26}"/>
    <cellStyle name="Comma 4 3 2 2 2 4 4" xfId="10967" xr:uid="{AFDEC073-35FE-46D2-B027-33F849F6208B}"/>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82A3EBB0-00D6-44C6-9D8C-2F817D857B83}"/>
    <cellStyle name="Comma 4 3 2 2 2 5 2 3" xfId="13525" xr:uid="{443B5B7B-C405-4363-B6C5-74224F1DCF35}"/>
    <cellStyle name="Comma 4 3 2 2 2 5 3" xfId="6271" xr:uid="{00000000-0005-0000-0000-000027090000}"/>
    <cellStyle name="Comma 4 3 2 2 2 5 3 2" xfId="15597" xr:uid="{3B071C72-0469-464D-99EB-13D9B049CD00}"/>
    <cellStyle name="Comma 4 3 2 2 2 5 4" xfId="11380" xr:uid="{516132D4-5A60-4DAD-B165-C8664AC7B302}"/>
    <cellStyle name="Comma 4 3 2 2 2 6" xfId="2400" xr:uid="{00000000-0005-0000-0000-000028090000}"/>
    <cellStyle name="Comma 4 3 2 2 2 6 2" xfId="6684" xr:uid="{00000000-0005-0000-0000-000029090000}"/>
    <cellStyle name="Comma 4 3 2 2 2 6 2 2" xfId="16010" xr:uid="{1000670A-B174-4840-AE1A-56059F4A9896}"/>
    <cellStyle name="Comma 4 3 2 2 2 6 3" xfId="11793" xr:uid="{D4AB989B-F690-4D01-8F95-3999B29E5D4D}"/>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BF9160B7-32EE-4C99-8C28-B86507495916}"/>
    <cellStyle name="Comma 4 3 2 2 2 8 3" xfId="12110" xr:uid="{DD15D663-E770-4194-9BFF-A69D824EC550}"/>
    <cellStyle name="Comma 4 3 2 2 2 9" xfId="4618" xr:uid="{00000000-0005-0000-0000-00002D090000}"/>
    <cellStyle name="Comma 4 3 2 2 2 9 2" xfId="13944" xr:uid="{B176996A-8389-4517-996A-E7CA377FABAA}"/>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2EA05F65-7F67-482C-97C1-3959C72F8A1A}"/>
    <cellStyle name="Comma 4 3 2 2 3 2 3" xfId="12285" xr:uid="{C3796FB8-AC86-4348-95D6-38899E0FDA52}"/>
    <cellStyle name="Comma 4 3 2 2 3 3" xfId="5031" xr:uid="{00000000-0005-0000-0000-000031090000}"/>
    <cellStyle name="Comma 4 3 2 2 3 3 2" xfId="14357" xr:uid="{7343FC43-0FAD-467B-B8F4-44B47208321A}"/>
    <cellStyle name="Comma 4 3 2 2 3 4" xfId="9335" xr:uid="{BACD532B-C811-4076-B107-03E74D1B7113}"/>
    <cellStyle name="Comma 4 3 2 2 3 5" xfId="10140" xr:uid="{F7BAEE80-6A70-4F36-BC35-250522A2EA01}"/>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7CD10B25-7790-4EC8-B7A6-5DAE02D9B009}"/>
    <cellStyle name="Comma 4 3 2 2 4 2 3" xfId="12698" xr:uid="{0AD4F058-193A-4BA8-9993-8CE77F746557}"/>
    <cellStyle name="Comma 4 3 2 2 4 3" xfId="5444" xr:uid="{00000000-0005-0000-0000-000035090000}"/>
    <cellStyle name="Comma 4 3 2 2 4 3 2" xfId="14770" xr:uid="{437290EB-6DCC-4B01-8C96-0ECAFEF1394E}"/>
    <cellStyle name="Comma 4 3 2 2 4 4" xfId="10553" xr:uid="{54BF26B3-8B73-4C7C-A3CF-2F6112BC5B59}"/>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734EF3AA-4E35-402D-BDE1-C143E71A944E}"/>
    <cellStyle name="Comma 4 3 2 2 5 2 3" xfId="13111" xr:uid="{06D2CA26-F483-4BBB-B1DD-FD1A12B0B21C}"/>
    <cellStyle name="Comma 4 3 2 2 5 3" xfId="5857" xr:uid="{00000000-0005-0000-0000-000039090000}"/>
    <cellStyle name="Comma 4 3 2 2 5 3 2" xfId="15183" xr:uid="{349B7FD2-0263-4DDE-815F-B7322D0E8A38}"/>
    <cellStyle name="Comma 4 3 2 2 5 4" xfId="10966" xr:uid="{474E3B69-55C1-47D0-B6EF-77D2A61B682B}"/>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07E78CDA-312B-4105-B4EA-937F5FAA52FA}"/>
    <cellStyle name="Comma 4 3 2 2 6 2 3" xfId="13524" xr:uid="{7E874E9B-0F1C-4F4B-8634-E77C1418AC88}"/>
    <cellStyle name="Comma 4 3 2 2 6 3" xfId="6270" xr:uid="{00000000-0005-0000-0000-00003D090000}"/>
    <cellStyle name="Comma 4 3 2 2 6 3 2" xfId="15596" xr:uid="{4223ED58-CB73-412C-A67E-9A98F12C4A81}"/>
    <cellStyle name="Comma 4 3 2 2 6 4" xfId="11379" xr:uid="{5298483E-8F23-4778-81F4-A5D59010D6C7}"/>
    <cellStyle name="Comma 4 3 2 2 7" xfId="2399" xr:uid="{00000000-0005-0000-0000-00003E090000}"/>
    <cellStyle name="Comma 4 3 2 2 7 2" xfId="6683" xr:uid="{00000000-0005-0000-0000-00003F090000}"/>
    <cellStyle name="Comma 4 3 2 2 7 2 2" xfId="16009" xr:uid="{7E6890FB-01B0-459B-82F7-976D74293E34}"/>
    <cellStyle name="Comma 4 3 2 2 7 3" xfId="11792" xr:uid="{449F6D03-F244-4CC7-AB7F-8B81E505FCAF}"/>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8856B55C-8E9C-4EA7-A8AB-8461E1A68CE0}"/>
    <cellStyle name="Comma 4 3 2 2 9 3" xfId="12109" xr:uid="{411B38B5-9392-42DF-B8C0-E99A06C18174}"/>
    <cellStyle name="Comma 4 3 2 3" xfId="148" xr:uid="{00000000-0005-0000-0000-000043090000}"/>
    <cellStyle name="Comma 4 3 2 3 10" xfId="9014" xr:uid="{46568903-2C47-4BC3-8E78-5A47F62B319C}"/>
    <cellStyle name="Comma 4 3 2 3 11" xfId="9728" xr:uid="{DB8201A6-062E-4F86-BAD0-246876942BDB}"/>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28A4D8FD-FE50-4B08-877E-3122E43FE742}"/>
    <cellStyle name="Comma 4 3 2 3 2 2 3" xfId="12287" xr:uid="{A24A7A74-B586-458D-B194-7A49A8AC8B93}"/>
    <cellStyle name="Comma 4 3 2 3 2 3" xfId="5033" xr:uid="{00000000-0005-0000-0000-000047090000}"/>
    <cellStyle name="Comma 4 3 2 3 2 3 2" xfId="14359" xr:uid="{9F6A672F-CF1A-455E-8C71-DC83E02455D6}"/>
    <cellStyle name="Comma 4 3 2 3 2 4" xfId="9439" xr:uid="{2FD116B5-6902-4630-AFC5-CC8B06C5F457}"/>
    <cellStyle name="Comma 4 3 2 3 2 5" xfId="10142" xr:uid="{A85C308E-48BF-4FD0-9C00-D49436A47409}"/>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0EAD12B9-FAF8-4D48-AE2A-258A1465F826}"/>
    <cellStyle name="Comma 4 3 2 3 3 2 3" xfId="12700" xr:uid="{13B9C8C6-6D28-40F6-94D0-35880029D7CC}"/>
    <cellStyle name="Comma 4 3 2 3 3 3" xfId="5446" xr:uid="{00000000-0005-0000-0000-00004B090000}"/>
    <cellStyle name="Comma 4 3 2 3 3 3 2" xfId="14772" xr:uid="{5947A6AA-C71F-4BDF-B0A0-1E9E4416335C}"/>
    <cellStyle name="Comma 4 3 2 3 3 4" xfId="10555" xr:uid="{FD5F3902-B08A-4718-9EB0-B58A1FD1B640}"/>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72721913-1792-4CF6-BEBB-72B2E6D4A9B4}"/>
    <cellStyle name="Comma 4 3 2 3 4 2 3" xfId="13113" xr:uid="{9BD540E4-61AB-4013-81FC-A420FD80C603}"/>
    <cellStyle name="Comma 4 3 2 3 4 3" xfId="5859" xr:uid="{00000000-0005-0000-0000-00004F090000}"/>
    <cellStyle name="Comma 4 3 2 3 4 3 2" xfId="15185" xr:uid="{D3E53155-77BC-48BF-A3B8-A762688E67B2}"/>
    <cellStyle name="Comma 4 3 2 3 4 4" xfId="10968" xr:uid="{FD8511DF-E025-4C4A-A8CB-1CAB287945A2}"/>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3A190652-1C4C-423E-9130-F99B3956AD75}"/>
    <cellStyle name="Comma 4 3 2 3 5 2 3" xfId="13526" xr:uid="{362A29DB-95DE-496E-A2C3-2807CA278E50}"/>
    <cellStyle name="Comma 4 3 2 3 5 3" xfId="6272" xr:uid="{00000000-0005-0000-0000-000053090000}"/>
    <cellStyle name="Comma 4 3 2 3 5 3 2" xfId="15598" xr:uid="{EC4C24C0-F70C-4A7C-ADB4-48E7FE37D4F1}"/>
    <cellStyle name="Comma 4 3 2 3 5 4" xfId="11381" xr:uid="{9223DEF2-3A62-4E90-8770-37F799651C72}"/>
    <cellStyle name="Comma 4 3 2 3 6" xfId="2401" xr:uid="{00000000-0005-0000-0000-000054090000}"/>
    <cellStyle name="Comma 4 3 2 3 6 2" xfId="6685" xr:uid="{00000000-0005-0000-0000-000055090000}"/>
    <cellStyle name="Comma 4 3 2 3 6 2 2" xfId="16011" xr:uid="{C4CE89ED-DA84-45CC-8005-006F784A57BE}"/>
    <cellStyle name="Comma 4 3 2 3 6 3" xfId="11794" xr:uid="{E660928D-32D5-4B3A-90D1-1F0475499DE0}"/>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D42C525B-FE69-4D67-BBC0-16B93D728E97}"/>
    <cellStyle name="Comma 4 3 2 3 8 3" xfId="12111" xr:uid="{64D6D583-E5DD-4EA3-97C8-90E97D1C8708}"/>
    <cellStyle name="Comma 4 3 2 3 9" xfId="4619" xr:uid="{00000000-0005-0000-0000-000059090000}"/>
    <cellStyle name="Comma 4 3 2 3 9 2" xfId="13945" xr:uid="{ADA56337-8139-46A1-A394-53637FF476AF}"/>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8485180D-8ED0-43E6-8496-58B831BAFC38}"/>
    <cellStyle name="Comma 4 3 2 4 2 3" xfId="12284" xr:uid="{BE0A0C35-200A-4643-BC75-DCF10243DAD7}"/>
    <cellStyle name="Comma 4 3 2 4 3" xfId="5030" xr:uid="{00000000-0005-0000-0000-00005D090000}"/>
    <cellStyle name="Comma 4 3 2 4 3 2" xfId="14356" xr:uid="{D5B7ACF1-1816-429A-9BEB-2CB209BA4989}"/>
    <cellStyle name="Comma 4 3 2 4 4" xfId="9232" xr:uid="{8193451B-D8F0-40BD-91ED-34E7041117F6}"/>
    <cellStyle name="Comma 4 3 2 4 5" xfId="10139" xr:uid="{C2AA1184-C67D-4A79-B27E-7ADCA89C7E06}"/>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21F58544-5361-4BB7-8004-E88BD62F0E4F}"/>
    <cellStyle name="Comma 4 3 2 5 2 3" xfId="12697" xr:uid="{FFF2314B-C457-4C23-857C-C1134AC79935}"/>
    <cellStyle name="Comma 4 3 2 5 3" xfId="5443" xr:uid="{00000000-0005-0000-0000-000061090000}"/>
    <cellStyle name="Comma 4 3 2 5 3 2" xfId="14769" xr:uid="{5643F8D3-1D5E-4DD9-A00E-6AF7526A9CF7}"/>
    <cellStyle name="Comma 4 3 2 5 4" xfId="10552" xr:uid="{91472811-FB05-4963-971E-E5A66A860B96}"/>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EBC5019B-A719-4FAA-BC1D-D9BCBFA1B5DB}"/>
    <cellStyle name="Comma 4 3 2 6 2 3" xfId="13110" xr:uid="{38807823-1F32-4B2B-AAEB-948B370DD70E}"/>
    <cellStyle name="Comma 4 3 2 6 3" xfId="5856" xr:uid="{00000000-0005-0000-0000-000065090000}"/>
    <cellStyle name="Comma 4 3 2 6 3 2" xfId="15182" xr:uid="{038515E6-D56B-45A1-A449-4910898FAD87}"/>
    <cellStyle name="Comma 4 3 2 6 4" xfId="10965" xr:uid="{5B10BA5B-DE10-4B33-9F3D-244394E9230E}"/>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DDF67ECA-7F52-45E0-B907-FC58CA9CED4E}"/>
    <cellStyle name="Comma 4 3 2 7 2 3" xfId="13523" xr:uid="{D99F99BB-C31B-437D-8EF5-90487E29C24C}"/>
    <cellStyle name="Comma 4 3 2 7 3" xfId="6269" xr:uid="{00000000-0005-0000-0000-000069090000}"/>
    <cellStyle name="Comma 4 3 2 7 3 2" xfId="15595" xr:uid="{A911F838-0C6B-400A-B80F-CB3FBC7A1E8D}"/>
    <cellStyle name="Comma 4 3 2 7 4" xfId="11378" xr:uid="{D12BF234-7951-4694-9BB1-BC54B554D064}"/>
    <cellStyle name="Comma 4 3 2 8" xfId="2398" xr:uid="{00000000-0005-0000-0000-00006A090000}"/>
    <cellStyle name="Comma 4 3 2 8 2" xfId="6682" xr:uid="{00000000-0005-0000-0000-00006B090000}"/>
    <cellStyle name="Comma 4 3 2 8 2 2" xfId="16008" xr:uid="{C640BEB0-ABA5-4FAB-8E81-9CD7078ACF0B}"/>
    <cellStyle name="Comma 4 3 2 8 3" xfId="11791" xr:uid="{54CB1F11-3B93-4D39-9F9B-B0603DF3B6D4}"/>
    <cellStyle name="Comma 4 3 2 9" xfId="2365" xr:uid="{00000000-0005-0000-0000-00006C090000}"/>
    <cellStyle name="Comma 4 3 3" xfId="149" xr:uid="{00000000-0005-0000-0000-00006D090000}"/>
    <cellStyle name="Comma 4 3 3 10" xfId="4620" xr:uid="{00000000-0005-0000-0000-00006E090000}"/>
    <cellStyle name="Comma 4 3 3 10 2" xfId="13946" xr:uid="{43BF3578-81FF-4A86-9547-3A742095D1A0}"/>
    <cellStyle name="Comma 4 3 3 11" xfId="8881" xr:uid="{ACA3BC7C-CED7-49C2-9DC3-E2A3989962E9}"/>
    <cellStyle name="Comma 4 3 3 12" xfId="9729" xr:uid="{EEC01CD1-93DA-45E3-9501-77B11E3FCF26}"/>
    <cellStyle name="Comma 4 3 3 2" xfId="150" xr:uid="{00000000-0005-0000-0000-00006F090000}"/>
    <cellStyle name="Comma 4 3 3 2 10" xfId="9088" xr:uid="{D40CFC42-DEA3-4A4C-8532-2B6CFC29229D}"/>
    <cellStyle name="Comma 4 3 3 2 11" xfId="9730" xr:uid="{76199ED0-5F68-4D4C-A2CC-98F74DC556A4}"/>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4C2E25E0-328D-4489-9C21-256DB665CF40}"/>
    <cellStyle name="Comma 4 3 3 2 2 2 3" xfId="12289" xr:uid="{A264CEC5-A703-402F-A573-E766B30A6B40}"/>
    <cellStyle name="Comma 4 3 3 2 2 3" xfId="5035" xr:uid="{00000000-0005-0000-0000-000073090000}"/>
    <cellStyle name="Comma 4 3 3 2 2 3 2" xfId="14361" xr:uid="{3882F41F-C856-4F9F-A9D4-A0607C6AD6E4}"/>
    <cellStyle name="Comma 4 3 3 2 2 4" xfId="9513" xr:uid="{986E0DAD-8ABC-4DAC-9C56-EF87B6B3B829}"/>
    <cellStyle name="Comma 4 3 3 2 2 5" xfId="10144" xr:uid="{98B6284F-9ADC-4C09-8E55-3F8F278944B7}"/>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AFFC7C54-8D69-40A9-980E-EE6FFBE016CF}"/>
    <cellStyle name="Comma 4 3 3 2 3 2 3" xfId="12702" xr:uid="{361CE95F-AABC-45CF-B9D7-8047AA6D3FD7}"/>
    <cellStyle name="Comma 4 3 3 2 3 3" xfId="5448" xr:uid="{00000000-0005-0000-0000-000077090000}"/>
    <cellStyle name="Comma 4 3 3 2 3 3 2" xfId="14774" xr:uid="{00B64ED0-D6EC-499D-ABDA-E32E3F39C0D9}"/>
    <cellStyle name="Comma 4 3 3 2 3 4" xfId="10557" xr:uid="{F46E88EB-E3B7-472F-9AC6-3BDB1FA26E94}"/>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B0F15171-8632-4B68-A7F0-A7ACCCC50E50}"/>
    <cellStyle name="Comma 4 3 3 2 4 2 3" xfId="13115" xr:uid="{03245171-9758-4B27-95E1-52D56493C1C0}"/>
    <cellStyle name="Comma 4 3 3 2 4 3" xfId="5861" xr:uid="{00000000-0005-0000-0000-00007B090000}"/>
    <cellStyle name="Comma 4 3 3 2 4 3 2" xfId="15187" xr:uid="{845E6B36-6D51-4100-A92D-AAECF727A804}"/>
    <cellStyle name="Comma 4 3 3 2 4 4" xfId="10970" xr:uid="{25002F3E-21C4-490D-9134-682FB655A85C}"/>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FE3E856E-51BF-491F-BD1C-9B1DCD9F0200}"/>
    <cellStyle name="Comma 4 3 3 2 5 2 3" xfId="13528" xr:uid="{B1E0837F-58EE-416A-B52C-EC3950A24F2C}"/>
    <cellStyle name="Comma 4 3 3 2 5 3" xfId="6274" xr:uid="{00000000-0005-0000-0000-00007F090000}"/>
    <cellStyle name="Comma 4 3 3 2 5 3 2" xfId="15600" xr:uid="{CC35127C-5ACB-41C1-9064-784F2BC0CA36}"/>
    <cellStyle name="Comma 4 3 3 2 5 4" xfId="11383" xr:uid="{CFA0935E-7EFC-42A1-A8A0-B31CF925BC4E}"/>
    <cellStyle name="Comma 4 3 3 2 6" xfId="2403" xr:uid="{00000000-0005-0000-0000-000080090000}"/>
    <cellStyle name="Comma 4 3 3 2 6 2" xfId="6687" xr:uid="{00000000-0005-0000-0000-000081090000}"/>
    <cellStyle name="Comma 4 3 3 2 6 2 2" xfId="16013" xr:uid="{C8515F3E-ED32-4DE8-9225-FF1D98098566}"/>
    <cellStyle name="Comma 4 3 3 2 6 3" xfId="11796" xr:uid="{496FB90E-E4F1-4475-8021-CA524B2FFDEC}"/>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F5106BB6-2BA3-4D2D-B2CE-DE20E69D42D5}"/>
    <cellStyle name="Comma 4 3 3 2 8 3" xfId="12113" xr:uid="{EC76C1FB-859D-4313-B380-C2F280BCDEC9}"/>
    <cellStyle name="Comma 4 3 3 2 9" xfId="4621" xr:uid="{00000000-0005-0000-0000-000085090000}"/>
    <cellStyle name="Comma 4 3 3 2 9 2" xfId="13947" xr:uid="{F1B9FC42-A2BD-42DD-B699-B704F1BD3416}"/>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E8AD03A4-2211-4887-B154-E7CC02D8B9A7}"/>
    <cellStyle name="Comma 4 3 3 3 2 3" xfId="12288" xr:uid="{DE47389C-67DE-4B69-AE08-D27A3B524C03}"/>
    <cellStyle name="Comma 4 3 3 3 3" xfId="5034" xr:uid="{00000000-0005-0000-0000-000089090000}"/>
    <cellStyle name="Comma 4 3 3 3 3 2" xfId="14360" xr:uid="{2456B71E-5C74-42AC-969E-9D26D135A68D}"/>
    <cellStyle name="Comma 4 3 3 3 4" xfId="9306" xr:uid="{6AC2749B-EC1D-4760-AD4B-F36381A669B6}"/>
    <cellStyle name="Comma 4 3 3 3 5" xfId="10143" xr:uid="{3647ABFB-178D-4B0C-BE00-A8CA40F33D53}"/>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6219E101-54AB-43A0-BEA3-4A28A4582573}"/>
    <cellStyle name="Comma 4 3 3 4 2 3" xfId="12701" xr:uid="{FED2518F-8742-4715-AFCE-83073FF0025B}"/>
    <cellStyle name="Comma 4 3 3 4 3" xfId="5447" xr:uid="{00000000-0005-0000-0000-00008D090000}"/>
    <cellStyle name="Comma 4 3 3 4 3 2" xfId="14773" xr:uid="{DCB6FDA1-735C-43D2-BDF8-B3D3F3D9FA85}"/>
    <cellStyle name="Comma 4 3 3 4 4" xfId="10556" xr:uid="{0602B2A1-E3ED-4BE2-809D-A1FCAB8F171F}"/>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DC161B81-1D6E-4FA4-ABBE-50B3AC635A56}"/>
    <cellStyle name="Comma 4 3 3 5 2 3" xfId="13114" xr:uid="{3603048F-7BD9-409D-B801-8A1084C97A7D}"/>
    <cellStyle name="Comma 4 3 3 5 3" xfId="5860" xr:uid="{00000000-0005-0000-0000-000091090000}"/>
    <cellStyle name="Comma 4 3 3 5 3 2" xfId="15186" xr:uid="{9977C916-E0EE-4145-BECD-067127CFDFC2}"/>
    <cellStyle name="Comma 4 3 3 5 4" xfId="10969" xr:uid="{25163687-A792-4A24-8AB8-CC979A9E33DF}"/>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78CB360D-79FB-4524-B4C8-7689898EE165}"/>
    <cellStyle name="Comma 4 3 3 6 2 3" xfId="13527" xr:uid="{4D607ACC-72F0-4474-9685-AADB662F7E7F}"/>
    <cellStyle name="Comma 4 3 3 6 3" xfId="6273" xr:uid="{00000000-0005-0000-0000-000095090000}"/>
    <cellStyle name="Comma 4 3 3 6 3 2" xfId="15599" xr:uid="{80593F97-E5C5-4FFC-AD12-D09D5DAEEA48}"/>
    <cellStyle name="Comma 4 3 3 6 4" xfId="11382" xr:uid="{4A59CDD1-9836-4BDF-B0E9-E6AF962E93E9}"/>
    <cellStyle name="Comma 4 3 3 7" xfId="2402" xr:uid="{00000000-0005-0000-0000-000096090000}"/>
    <cellStyle name="Comma 4 3 3 7 2" xfId="6686" xr:uid="{00000000-0005-0000-0000-000097090000}"/>
    <cellStyle name="Comma 4 3 3 7 2 2" xfId="16012" xr:uid="{3F447293-254B-42E5-A6C6-1907F0EF4E29}"/>
    <cellStyle name="Comma 4 3 3 7 3" xfId="11795" xr:uid="{B683AAAD-2C0F-4045-9E47-F8A8FD14AF8C}"/>
    <cellStyle name="Comma 4 3 3 8" xfId="2361" xr:uid="{00000000-0005-0000-0000-000098090000}"/>
    <cellStyle name="Comma 4 3 3 9" xfId="2780" xr:uid="{00000000-0005-0000-0000-000099090000}"/>
    <cellStyle name="Comma 4 3 3 9 2" xfId="7003" xr:uid="{00000000-0005-0000-0000-00009A090000}"/>
    <cellStyle name="Comma 4 3 3 9 2 2" xfId="16329" xr:uid="{036EBABE-1A8F-4A2D-886C-430101414A3D}"/>
    <cellStyle name="Comma 4 3 3 9 3" xfId="12112" xr:uid="{0701EA74-6E09-40D7-84CB-2AE36C5D1AE9}"/>
    <cellStyle name="Comma 4 3 4" xfId="151" xr:uid="{00000000-0005-0000-0000-00009B090000}"/>
    <cellStyle name="Comma 4 3 4 10" xfId="8985" xr:uid="{E965CEC1-A932-4F91-9E18-794CBF7DC7FC}"/>
    <cellStyle name="Comma 4 3 4 11" xfId="9731" xr:uid="{F39B1B5B-D33F-4C11-87D2-7A71D89C99DA}"/>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95B2BC2B-52DB-423B-93D6-20E0F8097C10}"/>
    <cellStyle name="Comma 4 3 4 2 2 3" xfId="12290" xr:uid="{F4F300E7-B212-43F7-8F1C-3A089244B0F3}"/>
    <cellStyle name="Comma 4 3 4 2 3" xfId="5036" xr:uid="{00000000-0005-0000-0000-00009F090000}"/>
    <cellStyle name="Comma 4 3 4 2 3 2" xfId="14362" xr:uid="{E3595EA6-2332-4FCA-BF7A-B10E258E321F}"/>
    <cellStyle name="Comma 4 3 4 2 4" xfId="9410" xr:uid="{54DEC146-6204-4AAF-A15F-BAC0A12B5984}"/>
    <cellStyle name="Comma 4 3 4 2 5" xfId="10145" xr:uid="{4ADD83D6-D56D-4B36-BC1D-259818961319}"/>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85DBDEBE-FCE6-47E5-BC1F-811BA3258864}"/>
    <cellStyle name="Comma 4 3 4 3 2 3" xfId="12703" xr:uid="{07107555-BA2C-45E4-B72F-75777654FFC3}"/>
    <cellStyle name="Comma 4 3 4 3 3" xfId="5449" xr:uid="{00000000-0005-0000-0000-0000A3090000}"/>
    <cellStyle name="Comma 4 3 4 3 3 2" xfId="14775" xr:uid="{1111C758-8BEC-4A3F-B9CB-E3AF5C3CBA72}"/>
    <cellStyle name="Comma 4 3 4 3 4" xfId="10558" xr:uid="{016702EA-F26B-4E81-A7EF-D7F1FDCAAC61}"/>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4B84D7F4-A827-4766-AE80-B3E7C43EA2F6}"/>
    <cellStyle name="Comma 4 3 4 4 2 3" xfId="13116" xr:uid="{6133B8D8-F413-4CFA-A0A4-4FD040924279}"/>
    <cellStyle name="Comma 4 3 4 4 3" xfId="5862" xr:uid="{00000000-0005-0000-0000-0000A7090000}"/>
    <cellStyle name="Comma 4 3 4 4 3 2" xfId="15188" xr:uid="{0BE8FAB6-A74B-471A-ABE3-811558589516}"/>
    <cellStyle name="Comma 4 3 4 4 4" xfId="10971" xr:uid="{55824B95-F43A-48C0-B53E-B3F95469AC3A}"/>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7DB645B3-4E26-4F57-8F66-1319F923869F}"/>
    <cellStyle name="Comma 4 3 4 5 2 3" xfId="13529" xr:uid="{954FF0E1-7468-48F2-87DA-38D93921F85A}"/>
    <cellStyle name="Comma 4 3 4 5 3" xfId="6275" xr:uid="{00000000-0005-0000-0000-0000AB090000}"/>
    <cellStyle name="Comma 4 3 4 5 3 2" xfId="15601" xr:uid="{4BDD7333-AAED-4771-92FD-EDAE89DEA52D}"/>
    <cellStyle name="Comma 4 3 4 5 4" xfId="11384" xr:uid="{681BCC52-81AC-4AB7-9595-940DD1516E2E}"/>
    <cellStyle name="Comma 4 3 4 6" xfId="2404" xr:uid="{00000000-0005-0000-0000-0000AC090000}"/>
    <cellStyle name="Comma 4 3 4 6 2" xfId="6688" xr:uid="{00000000-0005-0000-0000-0000AD090000}"/>
    <cellStyle name="Comma 4 3 4 6 2 2" xfId="16014" xr:uid="{EFC68E31-773C-4BD4-B964-68795F07B4E8}"/>
    <cellStyle name="Comma 4 3 4 6 3" xfId="11797" xr:uid="{7D2F2730-60E2-49A0-AB12-13D2D089CC28}"/>
    <cellStyle name="Comma 4 3 4 7" xfId="2700" xr:uid="{00000000-0005-0000-0000-0000AE090000}"/>
    <cellStyle name="Comma 4 3 4 8" xfId="2782" xr:uid="{00000000-0005-0000-0000-0000AF090000}"/>
    <cellStyle name="Comma 4 3 4 8 2" xfId="7005" xr:uid="{00000000-0005-0000-0000-0000B0090000}"/>
    <cellStyle name="Comma 4 3 4 8 2 2" xfId="16331" xr:uid="{E8DAABF2-7875-4EAE-A527-4C996D6E3CE9}"/>
    <cellStyle name="Comma 4 3 4 8 3" xfId="12114" xr:uid="{6071602F-14B3-4D34-A342-D2A4B1C01CC3}"/>
    <cellStyle name="Comma 4 3 4 9" xfId="4622" xr:uid="{00000000-0005-0000-0000-0000B1090000}"/>
    <cellStyle name="Comma 4 3 4 9 2" xfId="13948" xr:uid="{026CF488-3794-4077-A357-5199E4FEFF56}"/>
    <cellStyle name="Comma 4 3 5" xfId="152" xr:uid="{00000000-0005-0000-0000-0000B2090000}"/>
    <cellStyle name="Comma 4 3 5 10" xfId="9202" xr:uid="{BF5456DA-E11C-47BD-8210-21F45D9E5F79}"/>
    <cellStyle name="Comma 4 3 5 11" xfId="9732" xr:uid="{1ABBDF25-517B-40D1-B964-F75CFC95B07B}"/>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0A7EAE3A-4B18-4DBC-980E-E35A340A21EF}"/>
    <cellStyle name="Comma 4 3 5 2 2 3" xfId="12291" xr:uid="{174C49FD-0911-4C65-B6FF-7B80AF4E1982}"/>
    <cellStyle name="Comma 4 3 5 2 3" xfId="5037" xr:uid="{00000000-0005-0000-0000-0000B6090000}"/>
    <cellStyle name="Comma 4 3 5 2 3 2" xfId="14363" xr:uid="{7031BFC3-9EAF-4468-B03B-3F5E4B0B7326}"/>
    <cellStyle name="Comma 4 3 5 2 4" xfId="9595" xr:uid="{3E6BF710-D2EA-4AFB-83F1-C6BF1C2192FF}"/>
    <cellStyle name="Comma 4 3 5 2 5" xfId="10146" xr:uid="{DF8A4D95-2FE6-4202-84B3-18AF927B8EC2}"/>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F8E65675-9FA6-4DBB-84A2-B6AFE173E45A}"/>
    <cellStyle name="Comma 4 3 5 3 2 3" xfId="12704" xr:uid="{A476D17E-1151-4349-B682-6ABCCCDB6D15}"/>
    <cellStyle name="Comma 4 3 5 3 3" xfId="5450" xr:uid="{00000000-0005-0000-0000-0000BA090000}"/>
    <cellStyle name="Comma 4 3 5 3 3 2" xfId="14776" xr:uid="{D4C18969-D08C-4BD2-8EF6-D9D3613260EC}"/>
    <cellStyle name="Comma 4 3 5 3 4" xfId="10559" xr:uid="{96505584-9E8B-40A0-9753-E42EF1801D16}"/>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B5C5BE98-3A51-41D6-B564-65AE74FC8C9F}"/>
    <cellStyle name="Comma 4 3 5 4 2 3" xfId="13117" xr:uid="{F09BDF85-BAF2-470F-BB1E-39D97370D3F4}"/>
    <cellStyle name="Comma 4 3 5 4 3" xfId="5863" xr:uid="{00000000-0005-0000-0000-0000BE090000}"/>
    <cellStyle name="Comma 4 3 5 4 3 2" xfId="15189" xr:uid="{CF2AA0B7-2F21-4DC4-9342-995F8FD3D427}"/>
    <cellStyle name="Comma 4 3 5 4 4" xfId="10972" xr:uid="{1FF93D64-CC04-4444-BAB7-6E118B102765}"/>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730BDFE0-00F4-497F-82AE-917F9BBA4DEF}"/>
    <cellStyle name="Comma 4 3 5 5 2 3" xfId="13530" xr:uid="{425962E5-D97F-49B4-953B-550D7AE631F4}"/>
    <cellStyle name="Comma 4 3 5 5 3" xfId="6276" xr:uid="{00000000-0005-0000-0000-0000C2090000}"/>
    <cellStyle name="Comma 4 3 5 5 3 2" xfId="15602" xr:uid="{5C3261FE-2E66-47CA-A779-AA469B934FCB}"/>
    <cellStyle name="Comma 4 3 5 5 4" xfId="11385" xr:uid="{5B31A540-EFCE-4CBA-9157-059A3C71C530}"/>
    <cellStyle name="Comma 4 3 5 6" xfId="2405" xr:uid="{00000000-0005-0000-0000-0000C3090000}"/>
    <cellStyle name="Comma 4 3 5 6 2" xfId="6689" xr:uid="{00000000-0005-0000-0000-0000C4090000}"/>
    <cellStyle name="Comma 4 3 5 6 2 2" xfId="16015" xr:uid="{0D559306-7654-40AD-A0CB-81CFE88662CF}"/>
    <cellStyle name="Comma 4 3 5 6 3" xfId="11798" xr:uid="{F3FBBD8F-EEB5-425E-89F8-033C231B4D7E}"/>
    <cellStyle name="Comma 4 3 5 7" xfId="2701" xr:uid="{00000000-0005-0000-0000-0000C5090000}"/>
    <cellStyle name="Comma 4 3 5 8" xfId="2783" xr:uid="{00000000-0005-0000-0000-0000C6090000}"/>
    <cellStyle name="Comma 4 3 5 8 2" xfId="7006" xr:uid="{00000000-0005-0000-0000-0000C7090000}"/>
    <cellStyle name="Comma 4 3 5 8 2 2" xfId="16332" xr:uid="{6B0E1260-B1CD-42EF-8164-3F4C1DD2F313}"/>
    <cellStyle name="Comma 4 3 5 8 3" xfId="12115" xr:uid="{BD375031-7BA6-4E43-87FC-64631B7246EB}"/>
    <cellStyle name="Comma 4 3 5 9" xfId="4623" xr:uid="{00000000-0005-0000-0000-0000C8090000}"/>
    <cellStyle name="Comma 4 3 5 9 2" xfId="13949" xr:uid="{FD902683-1765-48E3-872C-6D0158650C71}"/>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0 2 2" xfId="16333" xr:uid="{60A9C1F8-D14A-4F10-A7EB-D0AD462CF8C1}"/>
    <cellStyle name="Comma 4 4 10 3" xfId="12116" xr:uid="{EDE0CAEC-BE00-4793-AAC2-9567E4E986FE}"/>
    <cellStyle name="Comma 4 4 11" xfId="4624" xr:uid="{00000000-0005-0000-0000-0000CC090000}"/>
    <cellStyle name="Comma 4 4 11 2" xfId="13950" xr:uid="{CEA3685D-524D-41D8-AC94-BB550E59F01D}"/>
    <cellStyle name="Comma 4 4 12" xfId="8804" xr:uid="{A2BB6322-7771-45CD-845C-77E2FE03AC7A}"/>
    <cellStyle name="Comma 4 4 13" xfId="9733" xr:uid="{418B3ED7-79C2-4645-8EBB-DDD45DE49D36}"/>
    <cellStyle name="Comma 4 4 2" xfId="154" xr:uid="{00000000-0005-0000-0000-0000CD090000}"/>
    <cellStyle name="Comma 4 4 2 10" xfId="4625" xr:uid="{00000000-0005-0000-0000-0000CE090000}"/>
    <cellStyle name="Comma 4 4 2 10 2" xfId="13951" xr:uid="{5051F016-5536-412A-AE8B-826C34C83BB6}"/>
    <cellStyle name="Comma 4 4 2 11" xfId="8907" xr:uid="{F9F87618-3BA1-4211-A686-62CF5BBA5770}"/>
    <cellStyle name="Comma 4 4 2 12" xfId="9734" xr:uid="{90B92AF1-D27E-4F9C-9BB5-CFCD73725066}"/>
    <cellStyle name="Comma 4 4 2 2" xfId="155" xr:uid="{00000000-0005-0000-0000-0000CF090000}"/>
    <cellStyle name="Comma 4 4 2 2 10" xfId="9114" xr:uid="{871FAC03-A44E-4C24-806C-3CC0605FD124}"/>
    <cellStyle name="Comma 4 4 2 2 11" xfId="9735" xr:uid="{B8467828-71EA-4D23-9B50-3E4E7FE53CE5}"/>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A72A9E44-6141-4682-9DBF-1921EEADD0A7}"/>
    <cellStyle name="Comma 4 4 2 2 2 2 3" xfId="12294" xr:uid="{5589DC74-4F30-404F-B8F5-7DBFB09CD893}"/>
    <cellStyle name="Comma 4 4 2 2 2 3" xfId="5040" xr:uid="{00000000-0005-0000-0000-0000D3090000}"/>
    <cellStyle name="Comma 4 4 2 2 2 3 2" xfId="14366" xr:uid="{E97E766C-8924-4AC5-9190-6BC3405C239A}"/>
    <cellStyle name="Comma 4 4 2 2 2 4" xfId="9539" xr:uid="{6209A471-8158-46C6-9ADA-C828BB6621B2}"/>
    <cellStyle name="Comma 4 4 2 2 2 5" xfId="10149" xr:uid="{9FDC6308-411F-427A-96B2-C318A886D58F}"/>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B66168DF-E58B-4C71-BDE8-C08E1DBF0FD8}"/>
    <cellStyle name="Comma 4 4 2 2 3 2 3" xfId="12707" xr:uid="{16DA1427-E264-44C9-9277-43544B3C1714}"/>
    <cellStyle name="Comma 4 4 2 2 3 3" xfId="5453" xr:uid="{00000000-0005-0000-0000-0000D7090000}"/>
    <cellStyle name="Comma 4 4 2 2 3 3 2" xfId="14779" xr:uid="{630DD934-ED61-4446-8E33-89309BCEA434}"/>
    <cellStyle name="Comma 4 4 2 2 3 4" xfId="10562" xr:uid="{45DFA84B-A14D-4291-A6D7-FFD3AEEEAFA5}"/>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6ECA2E0D-CDA8-4ADA-B1A3-81566BAFAAAD}"/>
    <cellStyle name="Comma 4 4 2 2 4 2 3" xfId="13120" xr:uid="{6EED649B-8FB4-4C75-83F4-075BE6BEEC03}"/>
    <cellStyle name="Comma 4 4 2 2 4 3" xfId="5866" xr:uid="{00000000-0005-0000-0000-0000DB090000}"/>
    <cellStyle name="Comma 4 4 2 2 4 3 2" xfId="15192" xr:uid="{5C3E3F6F-FAA7-42AC-8A12-C9CABA343522}"/>
    <cellStyle name="Comma 4 4 2 2 4 4" xfId="10975" xr:uid="{55BC3475-BDBF-4948-A27B-EF2B8619A373}"/>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88999B6E-83B4-422B-8E7A-7A771B29D73E}"/>
    <cellStyle name="Comma 4 4 2 2 5 2 3" xfId="13533" xr:uid="{C4535DFC-116C-4DBA-BE00-9CAB70979654}"/>
    <cellStyle name="Comma 4 4 2 2 5 3" xfId="6279" xr:uid="{00000000-0005-0000-0000-0000DF090000}"/>
    <cellStyle name="Comma 4 4 2 2 5 3 2" xfId="15605" xr:uid="{C7F9EC57-D780-41B0-B9B0-F8ADD68D9F06}"/>
    <cellStyle name="Comma 4 4 2 2 5 4" xfId="11388" xr:uid="{1212428F-418E-4AFA-A1CF-9EC2710F552C}"/>
    <cellStyle name="Comma 4 4 2 2 6" xfId="2408" xr:uid="{00000000-0005-0000-0000-0000E0090000}"/>
    <cellStyle name="Comma 4 4 2 2 6 2" xfId="6692" xr:uid="{00000000-0005-0000-0000-0000E1090000}"/>
    <cellStyle name="Comma 4 4 2 2 6 2 2" xfId="16018" xr:uid="{D7BC4CD3-F87B-4685-9995-05CDCBB8935A}"/>
    <cellStyle name="Comma 4 4 2 2 6 3" xfId="11801" xr:uid="{22792278-89C8-4ECB-BCFA-FAEC389BE7C2}"/>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D768D174-AF0A-4F4A-8885-A64E1A7E9ED1}"/>
    <cellStyle name="Comma 4 4 2 2 8 3" xfId="12118" xr:uid="{C15F401A-3C4E-49D4-87AF-F0463B21AE29}"/>
    <cellStyle name="Comma 4 4 2 2 9" xfId="4626" xr:uid="{00000000-0005-0000-0000-0000E5090000}"/>
    <cellStyle name="Comma 4 4 2 2 9 2" xfId="13952" xr:uid="{091F7472-43D7-4F09-8A90-F44BE87454AE}"/>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81D94938-7937-429D-A6CA-777BED9CD30D}"/>
    <cellStyle name="Comma 4 4 2 3 2 3" xfId="12293" xr:uid="{2B609DDD-BA83-43D2-8EF0-6D8F9A2F6BD7}"/>
    <cellStyle name="Comma 4 4 2 3 3" xfId="5039" xr:uid="{00000000-0005-0000-0000-0000E9090000}"/>
    <cellStyle name="Comma 4 4 2 3 3 2" xfId="14365" xr:uid="{BA6BCCD9-5AA9-4FEE-AAF2-428BF2498034}"/>
    <cellStyle name="Comma 4 4 2 3 4" xfId="9332" xr:uid="{00F59ECD-64D7-476B-90FD-CD86F054AE4D}"/>
    <cellStyle name="Comma 4 4 2 3 5" xfId="10148" xr:uid="{F57E3187-A318-4955-9971-87A7700269B6}"/>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AA472947-42C9-460B-A968-4DE42C89DBD3}"/>
    <cellStyle name="Comma 4 4 2 4 2 3" xfId="12706" xr:uid="{77FEEA7A-8B07-4560-B1D3-6D3B14CE4477}"/>
    <cellStyle name="Comma 4 4 2 4 3" xfId="5452" xr:uid="{00000000-0005-0000-0000-0000ED090000}"/>
    <cellStyle name="Comma 4 4 2 4 3 2" xfId="14778" xr:uid="{E1928E48-EB9D-4B7C-8745-46D1E5D5BAA1}"/>
    <cellStyle name="Comma 4 4 2 4 4" xfId="10561" xr:uid="{3F71F351-B925-4939-AF20-34F7D62ECDDD}"/>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2FA4FF65-464E-4633-B09F-943BC1143670}"/>
    <cellStyle name="Comma 4 4 2 5 2 3" xfId="13119" xr:uid="{9226BA48-7FBF-4094-8D57-AA8105665D17}"/>
    <cellStyle name="Comma 4 4 2 5 3" xfId="5865" xr:uid="{00000000-0005-0000-0000-0000F1090000}"/>
    <cellStyle name="Comma 4 4 2 5 3 2" xfId="15191" xr:uid="{996E3699-C757-487E-9967-FC025890A4F0}"/>
    <cellStyle name="Comma 4 4 2 5 4" xfId="10974" xr:uid="{2D0D60B5-518B-4316-B6AA-D1E607E79705}"/>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7CBAEB94-C001-421B-8FC0-4961AB09BAC4}"/>
    <cellStyle name="Comma 4 4 2 6 2 3" xfId="13532" xr:uid="{26A4EE66-1125-465F-AE01-A74924B24917}"/>
    <cellStyle name="Comma 4 4 2 6 3" xfId="6278" xr:uid="{00000000-0005-0000-0000-0000F5090000}"/>
    <cellStyle name="Comma 4 4 2 6 3 2" xfId="15604" xr:uid="{3427DFA4-F89D-4368-B3EA-75828D0C9B1A}"/>
    <cellStyle name="Comma 4 4 2 6 4" xfId="11387" xr:uid="{133B2500-04E6-4943-ACBD-D5C2E3D7E982}"/>
    <cellStyle name="Comma 4 4 2 7" xfId="2407" xr:uid="{00000000-0005-0000-0000-0000F6090000}"/>
    <cellStyle name="Comma 4 4 2 7 2" xfId="6691" xr:uid="{00000000-0005-0000-0000-0000F7090000}"/>
    <cellStyle name="Comma 4 4 2 7 2 2" xfId="16017" xr:uid="{AE50E7A6-B565-48FC-A373-F7A577949A2D}"/>
    <cellStyle name="Comma 4 4 2 7 3" xfId="11800" xr:uid="{3F30AE0D-B141-40B6-8121-79689CA0987E}"/>
    <cellStyle name="Comma 4 4 2 8" xfId="2703" xr:uid="{00000000-0005-0000-0000-0000F8090000}"/>
    <cellStyle name="Comma 4 4 2 9" xfId="2785" xr:uid="{00000000-0005-0000-0000-0000F9090000}"/>
    <cellStyle name="Comma 4 4 2 9 2" xfId="7008" xr:uid="{00000000-0005-0000-0000-0000FA090000}"/>
    <cellStyle name="Comma 4 4 2 9 2 2" xfId="16334" xr:uid="{967407BA-67E8-45B5-BD7F-4FF143B69B5B}"/>
    <cellStyle name="Comma 4 4 2 9 3" xfId="12117" xr:uid="{5276527A-E618-4867-BF37-D4446854D90B}"/>
    <cellStyle name="Comma 4 4 3" xfId="156" xr:uid="{00000000-0005-0000-0000-0000FB090000}"/>
    <cellStyle name="Comma 4 4 3 10" xfId="9011" xr:uid="{31ED03AD-AB12-49AF-9AD4-B783F0BF7322}"/>
    <cellStyle name="Comma 4 4 3 11" xfId="9736" xr:uid="{8EDADB40-B0C6-45F5-AE53-10DB232B1C53}"/>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47BD965E-247C-4F41-B62A-09AFC4864521}"/>
    <cellStyle name="Comma 4 4 3 2 2 3" xfId="12295" xr:uid="{0EBC5559-6C23-4935-BB41-9BCD66D47BAE}"/>
    <cellStyle name="Comma 4 4 3 2 3" xfId="5041" xr:uid="{00000000-0005-0000-0000-0000FF090000}"/>
    <cellStyle name="Comma 4 4 3 2 3 2" xfId="14367" xr:uid="{DE1C8612-7A95-42E3-A59C-C0ABFB54023F}"/>
    <cellStyle name="Comma 4 4 3 2 4" xfId="9436" xr:uid="{5B7DDC25-9095-4E8E-BD31-668F46BBD33F}"/>
    <cellStyle name="Comma 4 4 3 2 5" xfId="10150" xr:uid="{EB6EADB8-4AFA-4A24-B524-79B4DF3E1CC7}"/>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FCEA91D8-1270-4C00-8D8C-2F4166C81D35}"/>
    <cellStyle name="Comma 4 4 3 3 2 3" xfId="12708" xr:uid="{F6B5DDBB-95A6-4EA2-AC46-48F467E72576}"/>
    <cellStyle name="Comma 4 4 3 3 3" xfId="5454" xr:uid="{00000000-0005-0000-0000-0000030A0000}"/>
    <cellStyle name="Comma 4 4 3 3 3 2" xfId="14780" xr:uid="{96FACC2F-BCB6-4FCD-815A-E9640FA36719}"/>
    <cellStyle name="Comma 4 4 3 3 4" xfId="10563" xr:uid="{BC377480-61E4-4136-BBBC-9C1B2762B2FE}"/>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751B3829-4C47-4B8C-879D-D1233BFA47E6}"/>
    <cellStyle name="Comma 4 4 3 4 2 3" xfId="13121" xr:uid="{DD04883C-C00C-4E0E-8CAB-8A51634A2D44}"/>
    <cellStyle name="Comma 4 4 3 4 3" xfId="5867" xr:uid="{00000000-0005-0000-0000-0000070A0000}"/>
    <cellStyle name="Comma 4 4 3 4 3 2" xfId="15193" xr:uid="{E1194141-D8E0-4237-AC4A-CE2ABDE835DC}"/>
    <cellStyle name="Comma 4 4 3 4 4" xfId="10976" xr:uid="{29E6234C-FF19-4FFC-B09C-2C4FB0FE032A}"/>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D3C5DE5D-3DC5-45C7-86D0-F1B8A2E99ADA}"/>
    <cellStyle name="Comma 4 4 3 5 2 3" xfId="13534" xr:uid="{E3F22D32-0AAC-455E-8149-B8DF203C51DA}"/>
    <cellStyle name="Comma 4 4 3 5 3" xfId="6280" xr:uid="{00000000-0005-0000-0000-00000B0A0000}"/>
    <cellStyle name="Comma 4 4 3 5 3 2" xfId="15606" xr:uid="{35B2A0E3-2507-48AB-9FF7-85353DBB9597}"/>
    <cellStyle name="Comma 4 4 3 5 4" xfId="11389" xr:uid="{23EA6303-45E8-4CA3-9C72-A9AFF450915E}"/>
    <cellStyle name="Comma 4 4 3 6" xfId="2409" xr:uid="{00000000-0005-0000-0000-00000C0A0000}"/>
    <cellStyle name="Comma 4 4 3 6 2" xfId="6693" xr:uid="{00000000-0005-0000-0000-00000D0A0000}"/>
    <cellStyle name="Comma 4 4 3 6 2 2" xfId="16019" xr:uid="{BB490986-87FA-4E20-8060-DAE5EE8B249A}"/>
    <cellStyle name="Comma 4 4 3 6 3" xfId="11802" xr:uid="{105C7DC9-408F-49E7-AEA6-13CB9F75D52A}"/>
    <cellStyle name="Comma 4 4 3 7" xfId="2705" xr:uid="{00000000-0005-0000-0000-00000E0A0000}"/>
    <cellStyle name="Comma 4 4 3 8" xfId="2787" xr:uid="{00000000-0005-0000-0000-00000F0A0000}"/>
    <cellStyle name="Comma 4 4 3 8 2" xfId="7010" xr:uid="{00000000-0005-0000-0000-0000100A0000}"/>
    <cellStyle name="Comma 4 4 3 8 2 2" xfId="16336" xr:uid="{5512E550-AE72-4409-A309-43BD6576B285}"/>
    <cellStyle name="Comma 4 4 3 8 3" xfId="12119" xr:uid="{C99B449D-9A48-4008-A1B4-0E9D98061F55}"/>
    <cellStyle name="Comma 4 4 3 9" xfId="4627" xr:uid="{00000000-0005-0000-0000-0000110A0000}"/>
    <cellStyle name="Comma 4 4 3 9 2" xfId="13953" xr:uid="{E8AE2A26-C1F9-4058-B802-CCFD15AA17CD}"/>
    <cellStyle name="Comma 4 4 4" xfId="690" xr:uid="{00000000-0005-0000-0000-0000120A0000}"/>
    <cellStyle name="Comma 4 4 4 2" xfId="2961" xr:uid="{00000000-0005-0000-0000-0000130A0000}"/>
    <cellStyle name="Comma 4 4 4 2 2" xfId="7183" xr:uid="{00000000-0005-0000-0000-0000140A0000}"/>
    <cellStyle name="Comma 4 4 4 2 2 2" xfId="16509" xr:uid="{A08DF223-DDD6-4B34-A035-A75A71DF1134}"/>
    <cellStyle name="Comma 4 4 4 2 3" xfId="12292" xr:uid="{5708AD8A-506D-4FCB-BE14-73B375D12379}"/>
    <cellStyle name="Comma 4 4 4 3" xfId="5038" xr:uid="{00000000-0005-0000-0000-0000150A0000}"/>
    <cellStyle name="Comma 4 4 4 3 2" xfId="14364" xr:uid="{2B828A36-37DA-4A1B-9542-DA890A8F5F5B}"/>
    <cellStyle name="Comma 4 4 4 4" xfId="9229" xr:uid="{5D655A80-2199-4116-9BF2-7327D5827395}"/>
    <cellStyle name="Comma 4 4 4 5" xfId="10147" xr:uid="{2966197A-C86E-40CC-8660-C6946F374ED6}"/>
    <cellStyle name="Comma 4 4 5" xfId="1143" xr:uid="{00000000-0005-0000-0000-0000160A0000}"/>
    <cellStyle name="Comma 4 4 5 2" xfId="3374" xr:uid="{00000000-0005-0000-0000-0000170A0000}"/>
    <cellStyle name="Comma 4 4 5 2 2" xfId="7596" xr:uid="{00000000-0005-0000-0000-0000180A0000}"/>
    <cellStyle name="Comma 4 4 5 2 2 2" xfId="16922" xr:uid="{D431B30A-220C-4361-AD7D-65D9F33ED324}"/>
    <cellStyle name="Comma 4 4 5 2 3" xfId="12705" xr:uid="{65C04B2F-7F06-406D-86DE-1E4A552E6799}"/>
    <cellStyle name="Comma 4 4 5 3" xfId="5451" xr:uid="{00000000-0005-0000-0000-0000190A0000}"/>
    <cellStyle name="Comma 4 4 5 3 2" xfId="14777" xr:uid="{DD73CF7C-8A17-47C1-AB14-46F33DA4BCCE}"/>
    <cellStyle name="Comma 4 4 5 4" xfId="10560" xr:uid="{8D4E6504-FE40-4E64-AA2D-5AB1468CF4CE}"/>
    <cellStyle name="Comma 4 4 6" xfId="1557" xr:uid="{00000000-0005-0000-0000-00001A0A0000}"/>
    <cellStyle name="Comma 4 4 6 2" xfId="3787" xr:uid="{00000000-0005-0000-0000-00001B0A0000}"/>
    <cellStyle name="Comma 4 4 6 2 2" xfId="8009" xr:uid="{00000000-0005-0000-0000-00001C0A0000}"/>
    <cellStyle name="Comma 4 4 6 2 2 2" xfId="17335" xr:uid="{7BAD17D6-993C-4FAE-B5A5-7EF4AAFDC925}"/>
    <cellStyle name="Comma 4 4 6 2 3" xfId="13118" xr:uid="{6D0E1311-5124-4081-9E32-2E5211ACA76D}"/>
    <cellStyle name="Comma 4 4 6 3" xfId="5864" xr:uid="{00000000-0005-0000-0000-00001D0A0000}"/>
    <cellStyle name="Comma 4 4 6 3 2" xfId="15190" xr:uid="{8DC84BD2-A8D0-41C7-BB35-E736E0D7918C}"/>
    <cellStyle name="Comma 4 4 6 4" xfId="10973" xr:uid="{76283749-66F6-47BD-B999-A50E53FE320E}"/>
    <cellStyle name="Comma 4 4 7" xfId="1971" xr:uid="{00000000-0005-0000-0000-00001E0A0000}"/>
    <cellStyle name="Comma 4 4 7 2" xfId="4200" xr:uid="{00000000-0005-0000-0000-00001F0A0000}"/>
    <cellStyle name="Comma 4 4 7 2 2" xfId="8422" xr:uid="{00000000-0005-0000-0000-0000200A0000}"/>
    <cellStyle name="Comma 4 4 7 2 2 2" xfId="17748" xr:uid="{1B959C3D-1BFD-4D8B-BD1E-78D00F765CB3}"/>
    <cellStyle name="Comma 4 4 7 2 3" xfId="13531" xr:uid="{21DC76C5-40BB-4ADB-9868-2E41E3937B6E}"/>
    <cellStyle name="Comma 4 4 7 3" xfId="6277" xr:uid="{00000000-0005-0000-0000-0000210A0000}"/>
    <cellStyle name="Comma 4 4 7 3 2" xfId="15603" xr:uid="{1B6FCC2C-E2A9-4B7B-AC26-A1393E3E1861}"/>
    <cellStyle name="Comma 4 4 7 4" xfId="11386" xr:uid="{F3E9D85A-367A-43D4-8F10-70D6CF1AF9FC}"/>
    <cellStyle name="Comma 4 4 8" xfId="2406" xr:uid="{00000000-0005-0000-0000-0000220A0000}"/>
    <cellStyle name="Comma 4 4 8 2" xfId="6690" xr:uid="{00000000-0005-0000-0000-0000230A0000}"/>
    <cellStyle name="Comma 4 4 8 2 2" xfId="16016" xr:uid="{4A87C5E4-BA33-40D1-B1BD-447CC83C46D5}"/>
    <cellStyle name="Comma 4 4 8 3" xfId="11799" xr:uid="{3373205D-2D44-410E-BEBC-0061225E0D4A}"/>
    <cellStyle name="Comma 4 4 9" xfId="2702" xr:uid="{00000000-0005-0000-0000-0000240A0000}"/>
    <cellStyle name="Comma 4 5" xfId="157" xr:uid="{00000000-0005-0000-0000-0000250A0000}"/>
    <cellStyle name="Comma 4 5 10" xfId="4628" xr:uid="{00000000-0005-0000-0000-0000260A0000}"/>
    <cellStyle name="Comma 4 5 10 2" xfId="13954" xr:uid="{2ACE0754-675C-4718-A05F-97E68B300C06}"/>
    <cellStyle name="Comma 4 5 11" xfId="8849" xr:uid="{344CCE08-63E3-41E8-B38A-00347480820F}"/>
    <cellStyle name="Comma 4 5 12" xfId="9737" xr:uid="{76C3B6D7-5952-42C9-ACB4-B239D63AF4D6}"/>
    <cellStyle name="Comma 4 5 2" xfId="158" xr:uid="{00000000-0005-0000-0000-0000270A0000}"/>
    <cellStyle name="Comma 4 5 2 10" xfId="9056" xr:uid="{C7C2153B-7EAA-4A13-9C28-1151ACD100A8}"/>
    <cellStyle name="Comma 4 5 2 11" xfId="9738" xr:uid="{0EB50311-F341-4FB2-B9E9-C5EF87D2C44B}"/>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A36A64AF-98A6-483F-8891-44A9E4138B96}"/>
    <cellStyle name="Comma 4 5 2 2 2 3" xfId="12297" xr:uid="{1FBDD54C-6EE0-4981-8867-E2365899152C}"/>
    <cellStyle name="Comma 4 5 2 2 3" xfId="5043" xr:uid="{00000000-0005-0000-0000-00002B0A0000}"/>
    <cellStyle name="Comma 4 5 2 2 3 2" xfId="14369" xr:uid="{E10E44BA-728E-4250-8FC9-6A9DC59988F1}"/>
    <cellStyle name="Comma 4 5 2 2 4" xfId="9481" xr:uid="{47C88F6D-21B1-4457-908C-FFAB8FF83BD1}"/>
    <cellStyle name="Comma 4 5 2 2 5" xfId="10152" xr:uid="{D29DBC61-CA15-4530-AA01-F3D50D9A7578}"/>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EAA06996-18BA-4E70-87B6-4B4D82920C60}"/>
    <cellStyle name="Comma 4 5 2 3 2 3" xfId="12710" xr:uid="{073157AB-0FAF-4781-8A3E-329BD1FCD8F8}"/>
    <cellStyle name="Comma 4 5 2 3 3" xfId="5456" xr:uid="{00000000-0005-0000-0000-00002F0A0000}"/>
    <cellStyle name="Comma 4 5 2 3 3 2" xfId="14782" xr:uid="{1F28F146-77D5-42B5-A013-4BF6AD40C9ED}"/>
    <cellStyle name="Comma 4 5 2 3 4" xfId="10565" xr:uid="{78264F68-E0C4-4D3D-8323-FBEBAF9041AC}"/>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3E7D8DAA-77CD-4321-A3B6-30549D186B1F}"/>
    <cellStyle name="Comma 4 5 2 4 2 3" xfId="13123" xr:uid="{DC609D4D-6EF1-4F5C-9CC5-BEA7A8C9CD77}"/>
    <cellStyle name="Comma 4 5 2 4 3" xfId="5869" xr:uid="{00000000-0005-0000-0000-0000330A0000}"/>
    <cellStyle name="Comma 4 5 2 4 3 2" xfId="15195" xr:uid="{21A3E6A7-BB1E-45F9-A2B0-BE491E206A19}"/>
    <cellStyle name="Comma 4 5 2 4 4" xfId="10978" xr:uid="{F47B9CD1-7DE3-47E4-B47E-DF15C0BD58AC}"/>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353C047D-72D4-4489-A48B-5AA4CDA35368}"/>
    <cellStyle name="Comma 4 5 2 5 2 3" xfId="13536" xr:uid="{504632F5-5FD6-4471-9C9C-A4F37388C113}"/>
    <cellStyle name="Comma 4 5 2 5 3" xfId="6282" xr:uid="{00000000-0005-0000-0000-0000370A0000}"/>
    <cellStyle name="Comma 4 5 2 5 3 2" xfId="15608" xr:uid="{82A3DDDA-34F3-45C1-A2EA-8AE2F1E0538D}"/>
    <cellStyle name="Comma 4 5 2 5 4" xfId="11391" xr:uid="{6BCB74DE-ADF2-4230-AA8D-39EBCCA5DBF7}"/>
    <cellStyle name="Comma 4 5 2 6" xfId="2411" xr:uid="{00000000-0005-0000-0000-0000380A0000}"/>
    <cellStyle name="Comma 4 5 2 6 2" xfId="6695" xr:uid="{00000000-0005-0000-0000-0000390A0000}"/>
    <cellStyle name="Comma 4 5 2 6 2 2" xfId="16021" xr:uid="{F0A3A4ED-AE13-40D9-A9E3-F16A07273D2D}"/>
    <cellStyle name="Comma 4 5 2 6 3" xfId="11804" xr:uid="{70A53C81-746E-4218-AD40-DAE996E08D74}"/>
    <cellStyle name="Comma 4 5 2 7" xfId="2707" xr:uid="{00000000-0005-0000-0000-00003A0A0000}"/>
    <cellStyle name="Comma 4 5 2 8" xfId="2789" xr:uid="{00000000-0005-0000-0000-00003B0A0000}"/>
    <cellStyle name="Comma 4 5 2 8 2" xfId="7012" xr:uid="{00000000-0005-0000-0000-00003C0A0000}"/>
    <cellStyle name="Comma 4 5 2 8 2 2" xfId="16338" xr:uid="{CFAA10C2-4207-4E96-BFF2-7D338B15B81A}"/>
    <cellStyle name="Comma 4 5 2 8 3" xfId="12121" xr:uid="{7D54F5FD-2DFE-4F41-B874-EDE05F6B06E8}"/>
    <cellStyle name="Comma 4 5 2 9" xfId="4629" xr:uid="{00000000-0005-0000-0000-00003D0A0000}"/>
    <cellStyle name="Comma 4 5 2 9 2" xfId="13955" xr:uid="{E4EF94FC-96FD-4712-85E6-089794DDB41D}"/>
    <cellStyle name="Comma 4 5 3" xfId="694" xr:uid="{00000000-0005-0000-0000-00003E0A0000}"/>
    <cellStyle name="Comma 4 5 3 2" xfId="2965" xr:uid="{00000000-0005-0000-0000-00003F0A0000}"/>
    <cellStyle name="Comma 4 5 3 2 2" xfId="7187" xr:uid="{00000000-0005-0000-0000-0000400A0000}"/>
    <cellStyle name="Comma 4 5 3 2 2 2" xfId="16513" xr:uid="{4621630B-C7D3-4059-8EB6-D59E8A2819AD}"/>
    <cellStyle name="Comma 4 5 3 2 3" xfId="12296" xr:uid="{5652EAB7-06FA-4915-95CA-FBE54DC9F2D3}"/>
    <cellStyle name="Comma 4 5 3 3" xfId="5042" xr:uid="{00000000-0005-0000-0000-0000410A0000}"/>
    <cellStyle name="Comma 4 5 3 3 2" xfId="14368" xr:uid="{3F8DBF3A-7071-4619-A0DD-EE85C09EF0A8}"/>
    <cellStyle name="Comma 4 5 3 4" xfId="9274" xr:uid="{04AC3EF2-4A78-4DC5-BAB4-87936023C7E5}"/>
    <cellStyle name="Comma 4 5 3 5" xfId="10151" xr:uid="{895D2A17-BEFA-4B77-8AE8-8EB82DCCFC56}"/>
    <cellStyle name="Comma 4 5 4" xfId="1147" xr:uid="{00000000-0005-0000-0000-0000420A0000}"/>
    <cellStyle name="Comma 4 5 4 2" xfId="3378" xr:uid="{00000000-0005-0000-0000-0000430A0000}"/>
    <cellStyle name="Comma 4 5 4 2 2" xfId="7600" xr:uid="{00000000-0005-0000-0000-0000440A0000}"/>
    <cellStyle name="Comma 4 5 4 2 2 2" xfId="16926" xr:uid="{F2FB0D81-18A2-4A43-8317-C83A6F37C302}"/>
    <cellStyle name="Comma 4 5 4 2 3" xfId="12709" xr:uid="{9B713E94-31F3-46AB-B8E1-A3F3211EDDD1}"/>
    <cellStyle name="Comma 4 5 4 3" xfId="5455" xr:uid="{00000000-0005-0000-0000-0000450A0000}"/>
    <cellStyle name="Comma 4 5 4 3 2" xfId="14781" xr:uid="{83550DC3-768E-4CCA-88AA-76F6CA937B9C}"/>
    <cellStyle name="Comma 4 5 4 4" xfId="10564" xr:uid="{61B2B98A-F20E-4894-BBE7-BB90F421A53E}"/>
    <cellStyle name="Comma 4 5 5" xfId="1561" xr:uid="{00000000-0005-0000-0000-0000460A0000}"/>
    <cellStyle name="Comma 4 5 5 2" xfId="3791" xr:uid="{00000000-0005-0000-0000-0000470A0000}"/>
    <cellStyle name="Comma 4 5 5 2 2" xfId="8013" xr:uid="{00000000-0005-0000-0000-0000480A0000}"/>
    <cellStyle name="Comma 4 5 5 2 2 2" xfId="17339" xr:uid="{DCEDEEAE-AB15-4AFB-B4FF-B64A4DCF3631}"/>
    <cellStyle name="Comma 4 5 5 2 3" xfId="13122" xr:uid="{71117AEA-2F97-4710-BCB1-F3FB2D49BC13}"/>
    <cellStyle name="Comma 4 5 5 3" xfId="5868" xr:uid="{00000000-0005-0000-0000-0000490A0000}"/>
    <cellStyle name="Comma 4 5 5 3 2" xfId="15194" xr:uid="{E8A6B512-0A32-4D6F-9519-ACC1491D2C09}"/>
    <cellStyle name="Comma 4 5 5 4" xfId="10977" xr:uid="{37966615-4E6C-49C5-A22A-FC00F4383C77}"/>
    <cellStyle name="Comma 4 5 6" xfId="1975" xr:uid="{00000000-0005-0000-0000-00004A0A0000}"/>
    <cellStyle name="Comma 4 5 6 2" xfId="4204" xr:uid="{00000000-0005-0000-0000-00004B0A0000}"/>
    <cellStyle name="Comma 4 5 6 2 2" xfId="8426" xr:uid="{00000000-0005-0000-0000-00004C0A0000}"/>
    <cellStyle name="Comma 4 5 6 2 2 2" xfId="17752" xr:uid="{AF6D50C6-D216-4BEA-87E2-831E0E9B53E4}"/>
    <cellStyle name="Comma 4 5 6 2 3" xfId="13535" xr:uid="{3461F519-CF12-4ECA-BB1F-3E5A46D51B63}"/>
    <cellStyle name="Comma 4 5 6 3" xfId="6281" xr:uid="{00000000-0005-0000-0000-00004D0A0000}"/>
    <cellStyle name="Comma 4 5 6 3 2" xfId="15607" xr:uid="{6878CB64-A9F0-4049-B142-FFBF978384DF}"/>
    <cellStyle name="Comma 4 5 6 4" xfId="11390" xr:uid="{16BE95D0-2C6A-4D45-9071-5D440CC77B7B}"/>
    <cellStyle name="Comma 4 5 7" xfId="2410" xr:uid="{00000000-0005-0000-0000-00004E0A0000}"/>
    <cellStyle name="Comma 4 5 7 2" xfId="6694" xr:uid="{00000000-0005-0000-0000-00004F0A0000}"/>
    <cellStyle name="Comma 4 5 7 2 2" xfId="16020" xr:uid="{A3CC52ED-5564-4982-AABF-B11B17E2692A}"/>
    <cellStyle name="Comma 4 5 7 3" xfId="11803" xr:uid="{725A0344-6B5A-4A87-91B8-CDDBFE136FC9}"/>
    <cellStyle name="Comma 4 5 8" xfId="2706" xr:uid="{00000000-0005-0000-0000-0000500A0000}"/>
    <cellStyle name="Comma 4 5 9" xfId="2788" xr:uid="{00000000-0005-0000-0000-0000510A0000}"/>
    <cellStyle name="Comma 4 5 9 2" xfId="7011" xr:uid="{00000000-0005-0000-0000-0000520A0000}"/>
    <cellStyle name="Comma 4 5 9 2 2" xfId="16337" xr:uid="{3BE2B5C1-8AD2-4EC2-9763-A19E548AD034}"/>
    <cellStyle name="Comma 4 5 9 3" xfId="12120" xr:uid="{BC90A9A3-31F8-4B09-B485-7F7EDEC42C66}"/>
    <cellStyle name="Comma 4 6" xfId="159" xr:uid="{00000000-0005-0000-0000-0000530A0000}"/>
    <cellStyle name="Comma 4 6 10" xfId="8965" xr:uid="{FDA33E7D-96B8-46F2-87D8-5CB6C30A4CC6}"/>
    <cellStyle name="Comma 4 6 11" xfId="9739" xr:uid="{632593D5-AD72-465B-9844-94A0F3C9F034}"/>
    <cellStyle name="Comma 4 6 2" xfId="696" xr:uid="{00000000-0005-0000-0000-0000540A0000}"/>
    <cellStyle name="Comma 4 6 2 2" xfId="2967" xr:uid="{00000000-0005-0000-0000-0000550A0000}"/>
    <cellStyle name="Comma 4 6 2 2 2" xfId="7189" xr:uid="{00000000-0005-0000-0000-0000560A0000}"/>
    <cellStyle name="Comma 4 6 2 2 2 2" xfId="16515" xr:uid="{985AB358-056A-48B9-889C-215D64224C70}"/>
    <cellStyle name="Comma 4 6 2 2 3" xfId="12298" xr:uid="{5B2EA75C-38F9-4DDB-812E-3BACCC94F8CD}"/>
    <cellStyle name="Comma 4 6 2 3" xfId="5044" xr:uid="{00000000-0005-0000-0000-0000570A0000}"/>
    <cellStyle name="Comma 4 6 2 3 2" xfId="14370" xr:uid="{890DCB8B-7B45-44DC-8016-1D02F1254694}"/>
    <cellStyle name="Comma 4 6 2 4" xfId="9390" xr:uid="{F8012948-A58F-476A-B4CF-A63C8F36D5B6}"/>
    <cellStyle name="Comma 4 6 2 5" xfId="10153" xr:uid="{F46BB6A4-15BD-44F0-8090-407A52B74215}"/>
    <cellStyle name="Comma 4 6 3" xfId="1149" xr:uid="{00000000-0005-0000-0000-0000580A0000}"/>
    <cellStyle name="Comma 4 6 3 2" xfId="3380" xr:uid="{00000000-0005-0000-0000-0000590A0000}"/>
    <cellStyle name="Comma 4 6 3 2 2" xfId="7602" xr:uid="{00000000-0005-0000-0000-00005A0A0000}"/>
    <cellStyle name="Comma 4 6 3 2 2 2" xfId="16928" xr:uid="{A29AF52F-4EA0-4273-B662-7FC6318F77B7}"/>
    <cellStyle name="Comma 4 6 3 2 3" xfId="12711" xr:uid="{2BBF8730-1541-4FE9-B84E-C495C5FB74C6}"/>
    <cellStyle name="Comma 4 6 3 3" xfId="5457" xr:uid="{00000000-0005-0000-0000-00005B0A0000}"/>
    <cellStyle name="Comma 4 6 3 3 2" xfId="14783" xr:uid="{E2CB76ED-AE58-4292-A673-8D4C178A4098}"/>
    <cellStyle name="Comma 4 6 3 4" xfId="10566" xr:uid="{D5065000-65E6-41DF-BDC0-D5CF869A1A47}"/>
    <cellStyle name="Comma 4 6 4" xfId="1563" xr:uid="{00000000-0005-0000-0000-00005C0A0000}"/>
    <cellStyle name="Comma 4 6 4 2" xfId="3793" xr:uid="{00000000-0005-0000-0000-00005D0A0000}"/>
    <cellStyle name="Comma 4 6 4 2 2" xfId="8015" xr:uid="{00000000-0005-0000-0000-00005E0A0000}"/>
    <cellStyle name="Comma 4 6 4 2 2 2" xfId="17341" xr:uid="{D7E87982-C2A7-4A59-8944-DCDD404593E4}"/>
    <cellStyle name="Comma 4 6 4 2 3" xfId="13124" xr:uid="{17ABE6B1-2A58-4312-870B-1FEEC65320F7}"/>
    <cellStyle name="Comma 4 6 4 3" xfId="5870" xr:uid="{00000000-0005-0000-0000-00005F0A0000}"/>
    <cellStyle name="Comma 4 6 4 3 2" xfId="15196" xr:uid="{CE7F2002-CBC5-46FE-A69B-053F2E719B92}"/>
    <cellStyle name="Comma 4 6 4 4" xfId="10979" xr:uid="{63768B9C-03CB-4898-982A-D679F8412F54}"/>
    <cellStyle name="Comma 4 6 5" xfId="1977" xr:uid="{00000000-0005-0000-0000-0000600A0000}"/>
    <cellStyle name="Comma 4 6 5 2" xfId="4206" xr:uid="{00000000-0005-0000-0000-0000610A0000}"/>
    <cellStyle name="Comma 4 6 5 2 2" xfId="8428" xr:uid="{00000000-0005-0000-0000-0000620A0000}"/>
    <cellStyle name="Comma 4 6 5 2 2 2" xfId="17754" xr:uid="{CFA6AF78-46BC-4D9F-B163-411200271805}"/>
    <cellStyle name="Comma 4 6 5 2 3" xfId="13537" xr:uid="{EE2FF80D-1A63-4B6C-82B4-0B362C58E889}"/>
    <cellStyle name="Comma 4 6 5 3" xfId="6283" xr:uid="{00000000-0005-0000-0000-0000630A0000}"/>
    <cellStyle name="Comma 4 6 5 3 2" xfId="15609" xr:uid="{64439482-FDE3-46CF-BE2A-829ABB35C8A8}"/>
    <cellStyle name="Comma 4 6 5 4" xfId="11392" xr:uid="{627ABAA1-78EF-4135-B4D3-45122D1A156D}"/>
    <cellStyle name="Comma 4 6 6" xfId="2412" xr:uid="{00000000-0005-0000-0000-0000640A0000}"/>
    <cellStyle name="Comma 4 6 6 2" xfId="6696" xr:uid="{00000000-0005-0000-0000-0000650A0000}"/>
    <cellStyle name="Comma 4 6 6 2 2" xfId="16022" xr:uid="{0EF39EA5-F808-41A2-9B5D-1EE124133722}"/>
    <cellStyle name="Comma 4 6 6 3" xfId="11805" xr:uid="{39B0018B-2568-4F0B-B2F1-2D14DAA90CA4}"/>
    <cellStyle name="Comma 4 6 7" xfId="2708" xr:uid="{00000000-0005-0000-0000-0000660A0000}"/>
    <cellStyle name="Comma 4 6 8" xfId="2790" xr:uid="{00000000-0005-0000-0000-0000670A0000}"/>
    <cellStyle name="Comma 4 6 8 2" xfId="7013" xr:uid="{00000000-0005-0000-0000-0000680A0000}"/>
    <cellStyle name="Comma 4 6 8 2 2" xfId="16339" xr:uid="{71C63BAB-CC72-4925-BEDD-666212200C7B}"/>
    <cellStyle name="Comma 4 6 8 3" xfId="12122" xr:uid="{C4C18233-9961-4A7A-9A6E-F4335C491AA3}"/>
    <cellStyle name="Comma 4 6 9" xfId="4630" xr:uid="{00000000-0005-0000-0000-0000690A0000}"/>
    <cellStyle name="Comma 4 6 9 2" xfId="13956" xr:uid="{694A4102-17E0-42A3-A143-2C63F986C618}"/>
    <cellStyle name="Comma 4 7" xfId="160" xr:uid="{00000000-0005-0000-0000-00006A0A0000}"/>
    <cellStyle name="Comma 4 7 10" xfId="9168" xr:uid="{C5EF0C72-87BD-43A9-8A23-92F9D9423F50}"/>
    <cellStyle name="Comma 4 7 11" xfId="9740" xr:uid="{23CCFB9D-D810-4E5C-B3E6-5B34587F8815}"/>
    <cellStyle name="Comma 4 7 2" xfId="697" xr:uid="{00000000-0005-0000-0000-00006B0A0000}"/>
    <cellStyle name="Comma 4 7 2 2" xfId="2968" xr:uid="{00000000-0005-0000-0000-00006C0A0000}"/>
    <cellStyle name="Comma 4 7 2 2 2" xfId="7190" xr:uid="{00000000-0005-0000-0000-00006D0A0000}"/>
    <cellStyle name="Comma 4 7 2 2 2 2" xfId="16516" xr:uid="{6BC56322-5B54-4B4D-B6D3-7520ED7E9DB0}"/>
    <cellStyle name="Comma 4 7 2 2 3" xfId="12299" xr:uid="{DF3040EE-8505-4DCF-8AD9-3123FBA3CD6F}"/>
    <cellStyle name="Comma 4 7 2 3" xfId="5045" xr:uid="{00000000-0005-0000-0000-00006E0A0000}"/>
    <cellStyle name="Comma 4 7 2 3 2" xfId="14371" xr:uid="{9E7706DA-90D0-40D3-AE69-5371FF1FDB40}"/>
    <cellStyle name="Comma 4 7 2 4" xfId="9596" xr:uid="{F4A1C070-02C1-4F2A-89F2-15465D9BEBB2}"/>
    <cellStyle name="Comma 4 7 2 5" xfId="10154" xr:uid="{77D26D1C-F405-47B6-B707-040D8E77F7DF}"/>
    <cellStyle name="Comma 4 7 3" xfId="1150" xr:uid="{00000000-0005-0000-0000-00006F0A0000}"/>
    <cellStyle name="Comma 4 7 3 2" xfId="3381" xr:uid="{00000000-0005-0000-0000-0000700A0000}"/>
    <cellStyle name="Comma 4 7 3 2 2" xfId="7603" xr:uid="{00000000-0005-0000-0000-0000710A0000}"/>
    <cellStyle name="Comma 4 7 3 2 2 2" xfId="16929" xr:uid="{E83C0138-E6D4-41AB-809B-128FB23299BC}"/>
    <cellStyle name="Comma 4 7 3 2 3" xfId="12712" xr:uid="{09150548-950D-4CFD-9E9E-A8098E1850B4}"/>
    <cellStyle name="Comma 4 7 3 3" xfId="5458" xr:uid="{00000000-0005-0000-0000-0000720A0000}"/>
    <cellStyle name="Comma 4 7 3 3 2" xfId="14784" xr:uid="{C7EAB750-D5CB-4C29-90ED-B53BEF34F6C0}"/>
    <cellStyle name="Comma 4 7 3 4" xfId="10567" xr:uid="{B3E78736-C1A7-4CE6-8D1C-1AE88C73FBE6}"/>
    <cellStyle name="Comma 4 7 4" xfId="1564" xr:uid="{00000000-0005-0000-0000-0000730A0000}"/>
    <cellStyle name="Comma 4 7 4 2" xfId="3794" xr:uid="{00000000-0005-0000-0000-0000740A0000}"/>
    <cellStyle name="Comma 4 7 4 2 2" xfId="8016" xr:uid="{00000000-0005-0000-0000-0000750A0000}"/>
    <cellStyle name="Comma 4 7 4 2 2 2" xfId="17342" xr:uid="{33B806E2-B7B3-4492-8316-B059149F4796}"/>
    <cellStyle name="Comma 4 7 4 2 3" xfId="13125" xr:uid="{6218812D-97D8-490B-9F7F-952BE3D9ABBC}"/>
    <cellStyle name="Comma 4 7 4 3" xfId="5871" xr:uid="{00000000-0005-0000-0000-0000760A0000}"/>
    <cellStyle name="Comma 4 7 4 3 2" xfId="15197" xr:uid="{4E427EE0-F47A-4B19-84AA-2AB46252DB70}"/>
    <cellStyle name="Comma 4 7 4 4" xfId="10980" xr:uid="{9522905F-45D1-4F93-941D-AA61A26AF000}"/>
    <cellStyle name="Comma 4 7 5" xfId="1978" xr:uid="{00000000-0005-0000-0000-0000770A0000}"/>
    <cellStyle name="Comma 4 7 5 2" xfId="4207" xr:uid="{00000000-0005-0000-0000-0000780A0000}"/>
    <cellStyle name="Comma 4 7 5 2 2" xfId="8429" xr:uid="{00000000-0005-0000-0000-0000790A0000}"/>
    <cellStyle name="Comma 4 7 5 2 2 2" xfId="17755" xr:uid="{B7CF6D32-D03B-4CC7-A21E-05D1AC98AE6D}"/>
    <cellStyle name="Comma 4 7 5 2 3" xfId="13538" xr:uid="{D6A0C38D-1FD5-44ED-B708-EB176ADD6891}"/>
    <cellStyle name="Comma 4 7 5 3" xfId="6284" xr:uid="{00000000-0005-0000-0000-00007A0A0000}"/>
    <cellStyle name="Comma 4 7 5 3 2" xfId="15610" xr:uid="{ABCB20D8-95E7-401A-A8FA-7D558E15F563}"/>
    <cellStyle name="Comma 4 7 5 4" xfId="11393" xr:uid="{59B0C55F-D8C0-4820-9027-F6F5B6F214F5}"/>
    <cellStyle name="Comma 4 7 6" xfId="2413" xr:uid="{00000000-0005-0000-0000-00007B0A0000}"/>
    <cellStyle name="Comma 4 7 6 2" xfId="6697" xr:uid="{00000000-0005-0000-0000-00007C0A0000}"/>
    <cellStyle name="Comma 4 7 6 2 2" xfId="16023" xr:uid="{5977835D-A3A1-4300-9771-C51A245D2AB3}"/>
    <cellStyle name="Comma 4 7 6 3" xfId="11806" xr:uid="{7872171C-C7F6-4DB3-A8E6-0D6C812C7ACC}"/>
    <cellStyle name="Comma 4 7 7" xfId="2709" xr:uid="{00000000-0005-0000-0000-00007D0A0000}"/>
    <cellStyle name="Comma 4 7 8" xfId="2791" xr:uid="{00000000-0005-0000-0000-00007E0A0000}"/>
    <cellStyle name="Comma 4 7 8 2" xfId="7014" xr:uid="{00000000-0005-0000-0000-00007F0A0000}"/>
    <cellStyle name="Comma 4 7 8 2 2" xfId="16340" xr:uid="{E89E06A6-00F6-4DF7-914C-C0B63F5A6837}"/>
    <cellStyle name="Comma 4 7 8 3" xfId="12123" xr:uid="{9D13524D-5DB2-41DE-AE91-3A45CEB12AAB}"/>
    <cellStyle name="Comma 4 7 9" xfId="4631" xr:uid="{00000000-0005-0000-0000-0000800A0000}"/>
    <cellStyle name="Comma 4 7 9 2" xfId="13957" xr:uid="{67C66BDD-7385-40AA-B300-7909C4A4B0ED}"/>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omma 7 4" xfId="13825" xr:uid="{208DAD3C-FC8E-4587-B056-4C21CA21362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FCE294F0-BABA-4363-A79A-430CB61EFAF2}"/>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3" xfId="18058" xr:uid="{93CD636D-27AE-4014-933E-4D647BBF94BD}"/>
    <cellStyle name="Currency 14 3 2 2 2 3" xfId="18055" xr:uid="{E5212EC2-C640-4B3F-9E7B-61BEA998CA36}"/>
    <cellStyle name="Currency 14 3 2 2 3" xfId="18051" xr:uid="{0609A40A-98C6-43BF-B9B0-B35CF195B137}"/>
    <cellStyle name="Currency 14 3 2 3" xfId="18048" xr:uid="{5B299EF1-B425-4FC0-9C85-0364DAE0B29E}"/>
    <cellStyle name="Currency 14 3 3" xfId="18045" xr:uid="{C9F454A0-4344-4B01-8A4D-0D8AC9842C05}"/>
    <cellStyle name="Currency 14 4" xfId="13828" xr:uid="{8110FAB4-F48D-4344-989E-156B746A61CC}"/>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48461DB7-1234-45AC-94E1-ACA347A34C6F}"/>
    <cellStyle name="Currency 3 2 2 10 3" xfId="12124" xr:uid="{DA76102C-0103-47D2-91FA-7B334011DF9B}"/>
    <cellStyle name="Currency 3 2 2 11" xfId="4632" xr:uid="{00000000-0005-0000-0000-0000A50A0000}"/>
    <cellStyle name="Currency 3 2 2 11 2" xfId="13958" xr:uid="{17E11FE0-99A6-4EC8-A122-43060D6A7BC5}"/>
    <cellStyle name="Currency 3 2 2 12" xfId="8808" xr:uid="{5CD24693-181E-456A-9199-DC057509AC96}"/>
    <cellStyle name="Currency 3 2 2 13" xfId="9741" xr:uid="{11737B1F-18E7-45A2-A492-7EA05B033826}"/>
    <cellStyle name="Currency 3 2 2 2" xfId="179" xr:uid="{00000000-0005-0000-0000-0000A60A0000}"/>
    <cellStyle name="Currency 3 2 2 2 10" xfId="4633" xr:uid="{00000000-0005-0000-0000-0000A70A0000}"/>
    <cellStyle name="Currency 3 2 2 2 10 2" xfId="13959" xr:uid="{8EC26FEF-4835-4E04-AB07-CC3B8968D10B}"/>
    <cellStyle name="Currency 3 2 2 2 11" xfId="8911" xr:uid="{177A45F7-B130-49DA-829A-AA3BF41B848C}"/>
    <cellStyle name="Currency 3 2 2 2 12" xfId="9742" xr:uid="{C3D640D9-F055-4787-8B15-0D930EE4ADD2}"/>
    <cellStyle name="Currency 3 2 2 2 2" xfId="180" xr:uid="{00000000-0005-0000-0000-0000A80A0000}"/>
    <cellStyle name="Currency 3 2 2 2 2 10" xfId="9118" xr:uid="{4DDBDF88-B997-49F5-AF34-322CC93508E5}"/>
    <cellStyle name="Currency 3 2 2 2 2 11" xfId="9743" xr:uid="{EE1C5F4B-C6F7-46ED-A94B-C3B970ECAA54}"/>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EB7ED2D5-24F2-4B86-B233-0C731E084CD0}"/>
    <cellStyle name="Currency 3 2 2 2 2 2 2 3" xfId="12302" xr:uid="{11F4FF98-C303-4840-A3E6-45009CE3FB36}"/>
    <cellStyle name="Currency 3 2 2 2 2 2 3" xfId="5048" xr:uid="{00000000-0005-0000-0000-0000AC0A0000}"/>
    <cellStyle name="Currency 3 2 2 2 2 2 3 2" xfId="14374" xr:uid="{06D0D451-46F8-4B78-B6D7-0E5978C89C0B}"/>
    <cellStyle name="Currency 3 2 2 2 2 2 4" xfId="9543" xr:uid="{08990697-BAC1-4B06-A86B-C554A35267E6}"/>
    <cellStyle name="Currency 3 2 2 2 2 2 5" xfId="10157" xr:uid="{8C544540-EBD1-42C8-A019-DABF1709490B}"/>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046AB8FA-CFC9-422A-AD04-06FF6F21C046}"/>
    <cellStyle name="Currency 3 2 2 2 2 3 2 3" xfId="12715" xr:uid="{351DF00C-99C2-4DCC-91C9-99198E305E99}"/>
    <cellStyle name="Currency 3 2 2 2 2 3 3" xfId="5461" xr:uid="{00000000-0005-0000-0000-0000B00A0000}"/>
    <cellStyle name="Currency 3 2 2 2 2 3 3 2" xfId="14787" xr:uid="{7A321C3B-90CD-44DC-AA68-B6F2675D66D1}"/>
    <cellStyle name="Currency 3 2 2 2 2 3 4" xfId="10570" xr:uid="{961F3531-6E20-4D62-AFD7-891C4D1B4A56}"/>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B7DEE005-60F7-4C49-AF8D-3B8078527E57}"/>
    <cellStyle name="Currency 3 2 2 2 2 4 2 3" xfId="13128" xr:uid="{AA27E195-81BE-4F1D-B137-2A6B69A07CA9}"/>
    <cellStyle name="Currency 3 2 2 2 2 4 3" xfId="5874" xr:uid="{00000000-0005-0000-0000-0000B40A0000}"/>
    <cellStyle name="Currency 3 2 2 2 2 4 3 2" xfId="15200" xr:uid="{30F4DE84-7BF5-4EE6-A24A-5BD9E5BB0AEC}"/>
    <cellStyle name="Currency 3 2 2 2 2 4 4" xfId="10983" xr:uid="{2C458909-654B-484F-9418-70B690DE3C86}"/>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6CE7576D-FF05-4D35-B879-C7BB27F02081}"/>
    <cellStyle name="Currency 3 2 2 2 2 5 2 3" xfId="13541" xr:uid="{B9028F2B-F58B-42B9-AB94-6E9CB30FCCC1}"/>
    <cellStyle name="Currency 3 2 2 2 2 5 3" xfId="6287" xr:uid="{00000000-0005-0000-0000-0000B80A0000}"/>
    <cellStyle name="Currency 3 2 2 2 2 5 3 2" xfId="15613" xr:uid="{28B90934-0E87-4D93-BC0D-98AE46C78B8A}"/>
    <cellStyle name="Currency 3 2 2 2 2 5 4" xfId="11396" xr:uid="{EE6A112D-F2C7-429C-8A44-9ED08B91BAAC}"/>
    <cellStyle name="Currency 3 2 2 2 2 6" xfId="2416" xr:uid="{00000000-0005-0000-0000-0000B90A0000}"/>
    <cellStyle name="Currency 3 2 2 2 2 6 2" xfId="6700" xr:uid="{00000000-0005-0000-0000-0000BA0A0000}"/>
    <cellStyle name="Currency 3 2 2 2 2 6 2 2" xfId="16026" xr:uid="{98D58203-4CCF-4B4A-A366-0E817E046029}"/>
    <cellStyle name="Currency 3 2 2 2 2 6 3" xfId="11809" xr:uid="{A4C1C7E5-84BD-4083-B397-B13C97112E94}"/>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A98B8D13-344A-4D22-BE8A-5E05EBFB32C7}"/>
    <cellStyle name="Currency 3 2 2 2 2 8 3" xfId="12126" xr:uid="{52FC6173-709D-4DD9-8A4D-0437A13B03BB}"/>
    <cellStyle name="Currency 3 2 2 2 2 9" xfId="4634" xr:uid="{00000000-0005-0000-0000-0000BE0A0000}"/>
    <cellStyle name="Currency 3 2 2 2 2 9 2" xfId="13960" xr:uid="{0C32C4E4-AD1E-49DC-AC25-261A07BE52A4}"/>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987BD7CE-48D3-4F11-95AE-126C10D29ED2}"/>
    <cellStyle name="Currency 3 2 2 2 3 2 3" xfId="12301" xr:uid="{E5009EEA-5A24-44E3-BC68-ECF16D8B545B}"/>
    <cellStyle name="Currency 3 2 2 2 3 3" xfId="5047" xr:uid="{00000000-0005-0000-0000-0000C20A0000}"/>
    <cellStyle name="Currency 3 2 2 2 3 3 2" xfId="14373" xr:uid="{AF103A47-1DB7-43D9-BC45-93A9F8328EAA}"/>
    <cellStyle name="Currency 3 2 2 2 3 4" xfId="9336" xr:uid="{F86D5454-A503-484B-B8F3-81FF219E49D0}"/>
    <cellStyle name="Currency 3 2 2 2 3 5" xfId="10156" xr:uid="{F63ED133-BCB6-440D-AB94-204EA7D196DE}"/>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6A6D0625-6578-496E-B9F8-9679170C2914}"/>
    <cellStyle name="Currency 3 2 2 2 4 2 3" xfId="12714" xr:uid="{9B7A1529-5289-4BAA-BBCE-D063A0E51BDA}"/>
    <cellStyle name="Currency 3 2 2 2 4 3" xfId="5460" xr:uid="{00000000-0005-0000-0000-0000C60A0000}"/>
    <cellStyle name="Currency 3 2 2 2 4 3 2" xfId="14786" xr:uid="{C7202183-AA79-4C3F-8831-F4CDD66520CB}"/>
    <cellStyle name="Currency 3 2 2 2 4 4" xfId="10569" xr:uid="{EBD9CE6E-C07A-4648-AF7F-43A077E5FDB4}"/>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8FCEAFAC-6F68-4B5D-B01B-98615C3C3CE7}"/>
    <cellStyle name="Currency 3 2 2 2 5 2 3" xfId="13127" xr:uid="{56F0ADAE-484E-4952-913A-26925823D763}"/>
    <cellStyle name="Currency 3 2 2 2 5 3" xfId="5873" xr:uid="{00000000-0005-0000-0000-0000CA0A0000}"/>
    <cellStyle name="Currency 3 2 2 2 5 3 2" xfId="15199" xr:uid="{A7078A80-8A4B-46AC-B116-FE66A4CFABB0}"/>
    <cellStyle name="Currency 3 2 2 2 5 4" xfId="10982" xr:uid="{6DF31FC2-B7D9-4B0F-B2D1-6B16B5CE974C}"/>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78797DB4-FC65-47D5-ABF7-C744F937902B}"/>
    <cellStyle name="Currency 3 2 2 2 6 2 3" xfId="13540" xr:uid="{1A55938A-053A-456A-AABB-C92ABE9EFC74}"/>
    <cellStyle name="Currency 3 2 2 2 6 3" xfId="6286" xr:uid="{00000000-0005-0000-0000-0000CE0A0000}"/>
    <cellStyle name="Currency 3 2 2 2 6 3 2" xfId="15612" xr:uid="{9A6894A7-433A-443D-A63D-BAA7E47BBD7C}"/>
    <cellStyle name="Currency 3 2 2 2 6 4" xfId="11395" xr:uid="{9B16FAD3-9145-48B8-93C5-7629C098A6DA}"/>
    <cellStyle name="Currency 3 2 2 2 7" xfId="2415" xr:uid="{00000000-0005-0000-0000-0000CF0A0000}"/>
    <cellStyle name="Currency 3 2 2 2 7 2" xfId="6699" xr:uid="{00000000-0005-0000-0000-0000D00A0000}"/>
    <cellStyle name="Currency 3 2 2 2 7 2 2" xfId="16025" xr:uid="{3FA7099B-E4B8-4DB6-8BD3-A5194CBEE170}"/>
    <cellStyle name="Currency 3 2 2 2 7 3" xfId="11808" xr:uid="{217826CF-3D1C-4EFA-B168-7E108C483FE9}"/>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03580D1B-1C4C-42E3-A160-9CECD3AE02A1}"/>
    <cellStyle name="Currency 3 2 2 2 9 3" xfId="12125" xr:uid="{8D138A65-8870-4928-9C5C-05A8F25D2F78}"/>
    <cellStyle name="Currency 3 2 2 3" xfId="181" xr:uid="{00000000-0005-0000-0000-0000D40A0000}"/>
    <cellStyle name="Currency 3 2 2 3 10" xfId="9015" xr:uid="{A1C3FAFC-6FB9-45C5-A279-C90E61794A63}"/>
    <cellStyle name="Currency 3 2 2 3 11" xfId="9744" xr:uid="{96F57970-6605-4D96-99D9-575F9237721C}"/>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9786D072-E3E2-4336-88AC-BCC0F2E43334}"/>
    <cellStyle name="Currency 3 2 2 3 2 2 3" xfId="12303" xr:uid="{364E1FEE-0862-4E1B-AFF5-08A0E46235B3}"/>
    <cellStyle name="Currency 3 2 2 3 2 3" xfId="5049" xr:uid="{00000000-0005-0000-0000-0000D80A0000}"/>
    <cellStyle name="Currency 3 2 2 3 2 3 2" xfId="14375" xr:uid="{8C974D56-3024-4CC6-802E-5EC8EA8DAC63}"/>
    <cellStyle name="Currency 3 2 2 3 2 4" xfId="9440" xr:uid="{774D5512-BCA5-4224-A909-3336A63369C8}"/>
    <cellStyle name="Currency 3 2 2 3 2 5" xfId="10158" xr:uid="{6C92459E-C01A-4A5D-B3C3-6219717D2079}"/>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6430A949-0A80-4BBB-B830-2A6008CFFA11}"/>
    <cellStyle name="Currency 3 2 2 3 3 2 3" xfId="12716" xr:uid="{07B510C8-1200-44F1-ACF3-799EDC5228F4}"/>
    <cellStyle name="Currency 3 2 2 3 3 3" xfId="5462" xr:uid="{00000000-0005-0000-0000-0000DC0A0000}"/>
    <cellStyle name="Currency 3 2 2 3 3 3 2" xfId="14788" xr:uid="{F1EC58B4-419B-4AF6-B6D8-4B7E9D44DAAF}"/>
    <cellStyle name="Currency 3 2 2 3 3 4" xfId="10571" xr:uid="{90A68555-C16C-4606-B957-57D105ED38B5}"/>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A3841B39-8308-4E14-A04B-25EB145CBB0B}"/>
    <cellStyle name="Currency 3 2 2 3 4 2 3" xfId="13129" xr:uid="{5ED488DE-455E-41D3-9DB6-48DAAFD1D374}"/>
    <cellStyle name="Currency 3 2 2 3 4 3" xfId="5875" xr:uid="{00000000-0005-0000-0000-0000E00A0000}"/>
    <cellStyle name="Currency 3 2 2 3 4 3 2" xfId="15201" xr:uid="{50C56026-7BE5-412C-B0AB-2D4BBCB8D8A8}"/>
    <cellStyle name="Currency 3 2 2 3 4 4" xfId="10984" xr:uid="{035B37A6-C8CA-42BA-A4AC-A74A604108B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C0F9A22D-B55B-4B8F-A4CD-879833ECFF26}"/>
    <cellStyle name="Currency 3 2 2 3 5 2 3" xfId="13542" xr:uid="{EBB62F2E-778D-4B35-BD3E-AD6B8900EF1F}"/>
    <cellStyle name="Currency 3 2 2 3 5 3" xfId="6288" xr:uid="{00000000-0005-0000-0000-0000E40A0000}"/>
    <cellStyle name="Currency 3 2 2 3 5 3 2" xfId="15614" xr:uid="{35E92F5F-B08B-48A6-9309-7DD86169E39D}"/>
    <cellStyle name="Currency 3 2 2 3 5 4" xfId="11397" xr:uid="{45587002-CAD8-4EA2-AF60-2DD0297A3C66}"/>
    <cellStyle name="Currency 3 2 2 3 6" xfId="2417" xr:uid="{00000000-0005-0000-0000-0000E50A0000}"/>
    <cellStyle name="Currency 3 2 2 3 6 2" xfId="6701" xr:uid="{00000000-0005-0000-0000-0000E60A0000}"/>
    <cellStyle name="Currency 3 2 2 3 6 2 2" xfId="16027" xr:uid="{D3B6C693-A91F-4F7C-AC4A-D507BA0D9386}"/>
    <cellStyle name="Currency 3 2 2 3 6 3" xfId="11810" xr:uid="{9694A468-5C51-4CF2-98AC-95DCC122B611}"/>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8B97478F-9677-4516-B0DE-D83443B40783}"/>
    <cellStyle name="Currency 3 2 2 3 8 3" xfId="12127" xr:uid="{BD763E4D-3CED-4784-A837-FEA34A7A01D6}"/>
    <cellStyle name="Currency 3 2 2 3 9" xfId="4635" xr:uid="{00000000-0005-0000-0000-0000EA0A0000}"/>
    <cellStyle name="Currency 3 2 2 3 9 2" xfId="13961" xr:uid="{E0EA451B-0B1A-4524-B168-0F70C20E7EA4}"/>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ABDCAFD8-5329-4916-9FD6-E134EA35AB84}"/>
    <cellStyle name="Currency 3 2 2 4 2 3" xfId="12300" xr:uid="{5A6282CF-61A3-4A63-A3F9-C509C24F9A26}"/>
    <cellStyle name="Currency 3 2 2 4 3" xfId="5046" xr:uid="{00000000-0005-0000-0000-0000EE0A0000}"/>
    <cellStyle name="Currency 3 2 2 4 3 2" xfId="14372" xr:uid="{E74815E2-77E8-4421-A4BB-F4F988F3B6C3}"/>
    <cellStyle name="Currency 3 2 2 4 4" xfId="9233" xr:uid="{A90843BF-65B1-48E5-9C93-A2651D7B4B13}"/>
    <cellStyle name="Currency 3 2 2 4 5" xfId="10155" xr:uid="{8BEABC2D-5DB8-4EDD-A61F-3DCFBF547D44}"/>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6864F1C6-6270-4AB9-BF16-CE55EF1B48C9}"/>
    <cellStyle name="Currency 3 2 2 5 2 3" xfId="12713" xr:uid="{4A8592CD-60C3-416C-A5CB-89998732B822}"/>
    <cellStyle name="Currency 3 2 2 5 3" xfId="5459" xr:uid="{00000000-0005-0000-0000-0000F20A0000}"/>
    <cellStyle name="Currency 3 2 2 5 3 2" xfId="14785" xr:uid="{2A73A586-CE21-4084-A874-EF2AF7D5200D}"/>
    <cellStyle name="Currency 3 2 2 5 4" xfId="10568" xr:uid="{457F78B7-243D-4BD8-9E4E-BD30FE094BA1}"/>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C846E86F-F53C-4665-B151-3F8A9F071C55}"/>
    <cellStyle name="Currency 3 2 2 6 2 3" xfId="13126" xr:uid="{AA071BC2-F9AD-4FDA-A99D-4373035BEC80}"/>
    <cellStyle name="Currency 3 2 2 6 3" xfId="5872" xr:uid="{00000000-0005-0000-0000-0000F60A0000}"/>
    <cellStyle name="Currency 3 2 2 6 3 2" xfId="15198" xr:uid="{56A369F8-59FF-4774-99E9-9E9125D41BAD}"/>
    <cellStyle name="Currency 3 2 2 6 4" xfId="10981" xr:uid="{AC7F9153-186C-4EEC-9303-943161F89F49}"/>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F78461AD-DE94-4EC7-8B8D-23BB6C664108}"/>
    <cellStyle name="Currency 3 2 2 7 2 3" xfId="13539" xr:uid="{2EF74297-5580-432F-B70D-6BD69FE13246}"/>
    <cellStyle name="Currency 3 2 2 7 3" xfId="6285" xr:uid="{00000000-0005-0000-0000-0000FA0A0000}"/>
    <cellStyle name="Currency 3 2 2 7 3 2" xfId="15611" xr:uid="{FDE9DCFE-C38F-4075-8E99-40FE8BE504BB}"/>
    <cellStyle name="Currency 3 2 2 7 4" xfId="11394" xr:uid="{03F45239-8E54-4C64-A402-BF2022CECBB7}"/>
    <cellStyle name="Currency 3 2 2 8" xfId="2414" xr:uid="{00000000-0005-0000-0000-0000FB0A0000}"/>
    <cellStyle name="Currency 3 2 2 8 2" xfId="6698" xr:uid="{00000000-0005-0000-0000-0000FC0A0000}"/>
    <cellStyle name="Currency 3 2 2 8 2 2" xfId="16024" xr:uid="{DD0EEAE6-58D7-4549-B7E7-CACAD337381E}"/>
    <cellStyle name="Currency 3 2 2 8 3" xfId="11807" xr:uid="{A2CE7FCE-4423-45FA-A6F9-698B6EB2624C}"/>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5E48CD70-70E8-4981-89AC-B84743C275CC}"/>
    <cellStyle name="Currency 3 2 3 11" xfId="8893" xr:uid="{8CE28714-D587-402C-9A17-1A08799662D4}"/>
    <cellStyle name="Currency 3 2 3 12" xfId="9745" xr:uid="{E0A9FE7F-93BB-4E92-B191-30C8EB1EC347}"/>
    <cellStyle name="Currency 3 2 3 2" xfId="183" xr:uid="{00000000-0005-0000-0000-0000000B0000}"/>
    <cellStyle name="Currency 3 2 3 2 10" xfId="9100" xr:uid="{CEBE1F40-0923-46C6-AB84-DD4DAB20CD81}"/>
    <cellStyle name="Currency 3 2 3 2 11" xfId="9746" xr:uid="{E6A47F8D-B9C2-41AC-AE35-8DD8957DAF15}"/>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CBF7375D-B367-42C3-A41C-64E894F341FD}"/>
    <cellStyle name="Currency 3 2 3 2 2 2 3" xfId="12305" xr:uid="{FF710141-9F23-4C43-996F-BAAC1C66F975}"/>
    <cellStyle name="Currency 3 2 3 2 2 3" xfId="5051" xr:uid="{00000000-0005-0000-0000-0000040B0000}"/>
    <cellStyle name="Currency 3 2 3 2 2 3 2" xfId="14377" xr:uid="{50B554A9-E1BE-4A2F-9B13-225F15B57A28}"/>
    <cellStyle name="Currency 3 2 3 2 2 4" xfId="9525" xr:uid="{759374BA-DDD8-4F33-9655-B300986F8700}"/>
    <cellStyle name="Currency 3 2 3 2 2 5" xfId="10160" xr:uid="{192CF748-AB3E-4A35-ACEF-9AF8570234DD}"/>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36158BC7-A26D-4C42-9325-2B64F48B24DE}"/>
    <cellStyle name="Currency 3 2 3 2 3 2 3" xfId="12718" xr:uid="{B060BD16-A226-4504-9879-30263835915C}"/>
    <cellStyle name="Currency 3 2 3 2 3 3" xfId="5464" xr:uid="{00000000-0005-0000-0000-0000080B0000}"/>
    <cellStyle name="Currency 3 2 3 2 3 3 2" xfId="14790" xr:uid="{0F3AB9F6-7A3C-4A22-8FA2-1AFA0D354E43}"/>
    <cellStyle name="Currency 3 2 3 2 3 4" xfId="10573" xr:uid="{4662C79C-E8E8-4B02-92B8-C6E4CFDE2989}"/>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A295F396-BD48-49B2-BF25-3549BC8E529A}"/>
    <cellStyle name="Currency 3 2 3 2 4 2 3" xfId="13131" xr:uid="{0537A7C5-D026-4E9A-A1EB-3D5D7275F006}"/>
    <cellStyle name="Currency 3 2 3 2 4 3" xfId="5877" xr:uid="{00000000-0005-0000-0000-00000C0B0000}"/>
    <cellStyle name="Currency 3 2 3 2 4 3 2" xfId="15203" xr:uid="{B2A39F20-F4A6-4ADF-93D0-A585A60F9213}"/>
    <cellStyle name="Currency 3 2 3 2 4 4" xfId="10986" xr:uid="{7A5A9771-5FA3-4D26-AFA3-F5004650C1D2}"/>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FC734ABA-FCE6-448A-8B60-D23B4ACB3FFF}"/>
    <cellStyle name="Currency 3 2 3 2 5 2 3" xfId="13544" xr:uid="{D73D2140-C6CD-4B27-B299-2EF1D3D3DFF3}"/>
    <cellStyle name="Currency 3 2 3 2 5 3" xfId="6290" xr:uid="{00000000-0005-0000-0000-0000100B0000}"/>
    <cellStyle name="Currency 3 2 3 2 5 3 2" xfId="15616" xr:uid="{EBA31C55-11DE-4C07-B20A-8D8CFBBF401A}"/>
    <cellStyle name="Currency 3 2 3 2 5 4" xfId="11399" xr:uid="{10599252-92D0-416F-8387-347586D7C7C6}"/>
    <cellStyle name="Currency 3 2 3 2 6" xfId="2419" xr:uid="{00000000-0005-0000-0000-0000110B0000}"/>
    <cellStyle name="Currency 3 2 3 2 6 2" xfId="6703" xr:uid="{00000000-0005-0000-0000-0000120B0000}"/>
    <cellStyle name="Currency 3 2 3 2 6 2 2" xfId="16029" xr:uid="{8A6A4CA6-8DE7-4666-BA56-668C82C11C49}"/>
    <cellStyle name="Currency 3 2 3 2 6 3" xfId="11812" xr:uid="{117CC866-6159-4B67-85D5-EC5F8942BCE6}"/>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2B822A82-7008-4DD5-BDDB-144A4564810E}"/>
    <cellStyle name="Currency 3 2 3 2 8 3" xfId="12129" xr:uid="{05E2A171-8F29-4E9F-82B0-57131F4587EC}"/>
    <cellStyle name="Currency 3 2 3 2 9" xfId="4637" xr:uid="{00000000-0005-0000-0000-0000160B0000}"/>
    <cellStyle name="Currency 3 2 3 2 9 2" xfId="13963" xr:uid="{B6920828-8472-496D-A6FB-8E17CD64A2DC}"/>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316D82EA-720D-4102-A5B8-CAB1F65F7C1D}"/>
    <cellStyle name="Currency 3 2 3 3 2 3" xfId="12304" xr:uid="{36032C48-7F3A-4230-86E7-178B3997333C}"/>
    <cellStyle name="Currency 3 2 3 3 3" xfId="5050" xr:uid="{00000000-0005-0000-0000-00001A0B0000}"/>
    <cellStyle name="Currency 3 2 3 3 3 2" xfId="14376" xr:uid="{8CE38758-1F26-42C7-8254-7041702B2DC8}"/>
    <cellStyle name="Currency 3 2 3 3 4" xfId="9318" xr:uid="{AA73873E-8E72-4FDE-A22E-F5D80E2A87B1}"/>
    <cellStyle name="Currency 3 2 3 3 5" xfId="10159" xr:uid="{48F47E84-9BA5-4805-B543-FB559F614BEC}"/>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B77C2700-949C-4E61-A20D-ACFD37FCC3E5}"/>
    <cellStyle name="Currency 3 2 3 4 2 3" xfId="12717" xr:uid="{4B83C962-E485-4313-9A35-0CD4696ADD8A}"/>
    <cellStyle name="Currency 3 2 3 4 3" xfId="5463" xr:uid="{00000000-0005-0000-0000-00001E0B0000}"/>
    <cellStyle name="Currency 3 2 3 4 3 2" xfId="14789" xr:uid="{904B1C4D-B2C2-4632-98E9-55F185B16B03}"/>
    <cellStyle name="Currency 3 2 3 4 4" xfId="10572" xr:uid="{CCA57E9B-6228-46A2-AB57-F1B70FB4A483}"/>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43F44348-1B5D-461A-9990-04D53B10D833}"/>
    <cellStyle name="Currency 3 2 3 5 2 3" xfId="13130" xr:uid="{581F956D-4995-4010-8EE4-BDB800FB1816}"/>
    <cellStyle name="Currency 3 2 3 5 3" xfId="5876" xr:uid="{00000000-0005-0000-0000-0000220B0000}"/>
    <cellStyle name="Currency 3 2 3 5 3 2" xfId="15202" xr:uid="{52DE7BD4-D959-4002-B6C3-073CC8BC5B1A}"/>
    <cellStyle name="Currency 3 2 3 5 4" xfId="10985" xr:uid="{A8F15FAC-7FD6-407E-9FF8-F62A635E8F16}"/>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64D9D331-0B8F-4905-B09F-34C2B80BEE26}"/>
    <cellStyle name="Currency 3 2 3 6 2 3" xfId="13543" xr:uid="{6EA43CAB-B166-4597-967F-A0DDCCA8716F}"/>
    <cellStyle name="Currency 3 2 3 6 3" xfId="6289" xr:uid="{00000000-0005-0000-0000-0000260B0000}"/>
    <cellStyle name="Currency 3 2 3 6 3 2" xfId="15615" xr:uid="{4923EC2C-E29B-4EBD-9ECE-A1FCBA5D826A}"/>
    <cellStyle name="Currency 3 2 3 6 4" xfId="11398" xr:uid="{A140A53E-C869-49EB-8995-11A531D4C2E5}"/>
    <cellStyle name="Currency 3 2 3 7" xfId="2418" xr:uid="{00000000-0005-0000-0000-0000270B0000}"/>
    <cellStyle name="Currency 3 2 3 7 2" xfId="6702" xr:uid="{00000000-0005-0000-0000-0000280B0000}"/>
    <cellStyle name="Currency 3 2 3 7 2 2" xfId="16028" xr:uid="{6ECFAFE0-63B8-4647-9F27-3362B3F20F76}"/>
    <cellStyle name="Currency 3 2 3 7 3" xfId="11811" xr:uid="{5CC8B417-B91B-4C9C-836A-E8FC73B78F4E}"/>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A86FB215-CD7D-408F-9298-E6EBD3A0A87D}"/>
    <cellStyle name="Currency 3 2 3 9 3" xfId="12128" xr:uid="{62F91F02-C4F2-44DC-9A73-E357CDC61260}"/>
    <cellStyle name="Currency 3 2 4" xfId="184" xr:uid="{00000000-0005-0000-0000-00002C0B0000}"/>
    <cellStyle name="Currency 3 2 4 10" xfId="8997" xr:uid="{DF9FC022-A382-4135-990F-F43A472E13BA}"/>
    <cellStyle name="Currency 3 2 4 11" xfId="9747" xr:uid="{F53F17C1-6DA6-41DD-89B3-159488B0D733}"/>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BB74AE61-9C3A-4E6E-80FC-DBE3E74259B8}"/>
    <cellStyle name="Currency 3 2 4 2 2 3" xfId="12306" xr:uid="{52CB313D-82ED-4479-8AD7-0A85D18F0C2B}"/>
    <cellStyle name="Currency 3 2 4 2 3" xfId="5052" xr:uid="{00000000-0005-0000-0000-0000300B0000}"/>
    <cellStyle name="Currency 3 2 4 2 3 2" xfId="14378" xr:uid="{786AB69D-46A0-4817-9925-7D14A01A715D}"/>
    <cellStyle name="Currency 3 2 4 2 4" xfId="9422" xr:uid="{3049B7CE-611E-437A-AD0B-2E3AA5E2E50D}"/>
    <cellStyle name="Currency 3 2 4 2 5" xfId="10161" xr:uid="{04EFC556-B9E5-4010-B540-13838D7BD0FE}"/>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302E1794-5451-443D-A8E0-1E202CB07C76}"/>
    <cellStyle name="Currency 3 2 4 3 2 3" xfId="12719" xr:uid="{D8B24E36-1100-4EC9-AA57-161890561768}"/>
    <cellStyle name="Currency 3 2 4 3 3" xfId="5465" xr:uid="{00000000-0005-0000-0000-0000340B0000}"/>
    <cellStyle name="Currency 3 2 4 3 3 2" xfId="14791" xr:uid="{5331BEDA-3219-4EDC-9D92-275338A9D9CC}"/>
    <cellStyle name="Currency 3 2 4 3 4" xfId="10574" xr:uid="{04D47513-78D6-4F2D-A1DE-8A47C73716A7}"/>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B209B6D5-0734-4BF2-B979-CF40BD707F06}"/>
    <cellStyle name="Currency 3 2 4 4 2 3" xfId="13132" xr:uid="{1EB391EA-898B-4F80-B9CB-EE13E129D8B5}"/>
    <cellStyle name="Currency 3 2 4 4 3" xfId="5878" xr:uid="{00000000-0005-0000-0000-0000380B0000}"/>
    <cellStyle name="Currency 3 2 4 4 3 2" xfId="15204" xr:uid="{76DC2D7A-AFA2-4A81-A202-C50B1FA417E7}"/>
    <cellStyle name="Currency 3 2 4 4 4" xfId="10987" xr:uid="{09448FA7-712F-45EE-B26B-1A5E2EA6E1C0}"/>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933312F4-D075-41FD-9C70-D0F8D41BA91B}"/>
    <cellStyle name="Currency 3 2 4 5 2 3" xfId="13545" xr:uid="{AA93BBD0-87E0-46DA-B6BA-B11E77603D72}"/>
    <cellStyle name="Currency 3 2 4 5 3" xfId="6291" xr:uid="{00000000-0005-0000-0000-00003C0B0000}"/>
    <cellStyle name="Currency 3 2 4 5 3 2" xfId="15617" xr:uid="{C473AFDE-E379-4854-ACDD-AA1E7FAEA2B9}"/>
    <cellStyle name="Currency 3 2 4 5 4" xfId="11400" xr:uid="{7DF5775B-7711-4A8D-A544-22A462488823}"/>
    <cellStyle name="Currency 3 2 4 6" xfId="2420" xr:uid="{00000000-0005-0000-0000-00003D0B0000}"/>
    <cellStyle name="Currency 3 2 4 6 2" xfId="6704" xr:uid="{00000000-0005-0000-0000-00003E0B0000}"/>
    <cellStyle name="Currency 3 2 4 6 2 2" xfId="16030" xr:uid="{151F7746-F904-4C4A-B8BC-71DAE0862508}"/>
    <cellStyle name="Currency 3 2 4 6 3" xfId="11813" xr:uid="{3A02AFFE-AA23-45D9-B585-B2CDB4F1BA19}"/>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77474FF0-3248-42CB-85C0-000CCA654F64}"/>
    <cellStyle name="Currency 3 2 4 8 3" xfId="12130" xr:uid="{0733AC1A-7518-40B9-8680-C0B090828E0A}"/>
    <cellStyle name="Currency 3 2 4 9" xfId="4638" xr:uid="{00000000-0005-0000-0000-0000420B0000}"/>
    <cellStyle name="Currency 3 2 4 9 2" xfId="13964" xr:uid="{2D981B84-B30C-4AB8-AEFC-3EB751BA8ADB}"/>
    <cellStyle name="Currency 3 2 5" xfId="185" xr:uid="{00000000-0005-0000-0000-0000430B0000}"/>
    <cellStyle name="Currency 3 2 5 10" xfId="9214" xr:uid="{3D0A867F-0B9D-4759-A509-3EC1084E197B}"/>
    <cellStyle name="Currency 3 2 5 11" xfId="9748" xr:uid="{209EFD2B-5528-40BB-892A-7CF9ECB2C97D}"/>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74F6291B-BA1E-436B-9501-767DEAA853FE}"/>
    <cellStyle name="Currency 3 2 5 2 2 3" xfId="12307" xr:uid="{7B45A5AD-4411-4033-8726-807FDCAC5F67}"/>
    <cellStyle name="Currency 3 2 5 2 3" xfId="5053" xr:uid="{00000000-0005-0000-0000-0000470B0000}"/>
    <cellStyle name="Currency 3 2 5 2 3 2" xfId="14379" xr:uid="{CE57A915-3E63-4714-A362-B1F8A0042BE2}"/>
    <cellStyle name="Currency 3 2 5 2 4" xfId="9597" xr:uid="{6E2F978E-96E4-4AD8-B4BD-1BE9D7E96A2F}"/>
    <cellStyle name="Currency 3 2 5 2 5" xfId="10162" xr:uid="{9C436120-7625-415A-8C6F-E37B418FB73F}"/>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B24B3714-5A82-44C3-8AEA-D0142D4FB007}"/>
    <cellStyle name="Currency 3 2 5 3 2 3" xfId="12720" xr:uid="{5E6C8E26-ECC7-4FEA-85D3-6B8D4F86F8CE}"/>
    <cellStyle name="Currency 3 2 5 3 3" xfId="5466" xr:uid="{00000000-0005-0000-0000-00004B0B0000}"/>
    <cellStyle name="Currency 3 2 5 3 3 2" xfId="14792" xr:uid="{CBFEC261-2DCC-496E-A96C-13C18FD2D798}"/>
    <cellStyle name="Currency 3 2 5 3 4" xfId="10575" xr:uid="{C81228EB-DF60-4AB6-89D5-2FFCE5168807}"/>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7BE8D0B7-0F4E-488B-98A7-19C305A9A8F2}"/>
    <cellStyle name="Currency 3 2 5 4 2 3" xfId="13133" xr:uid="{5C5D15D5-6BB4-48E3-BBB9-E79D7BC55254}"/>
    <cellStyle name="Currency 3 2 5 4 3" xfId="5879" xr:uid="{00000000-0005-0000-0000-00004F0B0000}"/>
    <cellStyle name="Currency 3 2 5 4 3 2" xfId="15205" xr:uid="{2092BE62-3C84-4B4A-BA21-9999271BFC70}"/>
    <cellStyle name="Currency 3 2 5 4 4" xfId="10988" xr:uid="{6F4A71FF-78ED-4CE5-B15D-5F13AE6E2624}"/>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D281AA94-A4FC-4384-8CA6-48389F92BB7D}"/>
    <cellStyle name="Currency 3 2 5 5 2 3" xfId="13546" xr:uid="{9A8675E3-0090-4DDA-9C85-05C3FDA781B3}"/>
    <cellStyle name="Currency 3 2 5 5 3" xfId="6292" xr:uid="{00000000-0005-0000-0000-0000530B0000}"/>
    <cellStyle name="Currency 3 2 5 5 3 2" xfId="15618" xr:uid="{442BAF7D-71CE-404C-9A23-266CC8228F0A}"/>
    <cellStyle name="Currency 3 2 5 5 4" xfId="11401" xr:uid="{4006EF52-0526-490B-91A3-F91DE103BE5F}"/>
    <cellStyle name="Currency 3 2 5 6" xfId="2421" xr:uid="{00000000-0005-0000-0000-0000540B0000}"/>
    <cellStyle name="Currency 3 2 5 6 2" xfId="6705" xr:uid="{00000000-0005-0000-0000-0000550B0000}"/>
    <cellStyle name="Currency 3 2 5 6 2 2" xfId="16031" xr:uid="{12CBB794-72D9-4546-A664-61CCEECD54CA}"/>
    <cellStyle name="Currency 3 2 5 6 3" xfId="11814" xr:uid="{81177590-F504-40D6-8421-FFB75F5E04F1}"/>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6719D310-BECB-40A1-B527-A5439461BE39}"/>
    <cellStyle name="Currency 3 2 5 8 3" xfId="12131" xr:uid="{AF5EABEE-A79C-4CFF-896F-D381989604C3}"/>
    <cellStyle name="Currency 3 2 5 9" xfId="4639" xr:uid="{00000000-0005-0000-0000-0000590B0000}"/>
    <cellStyle name="Currency 3 2 5 9 2" xfId="13965" xr:uid="{CC99139A-294E-4A3B-9CD2-1E25F54D007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FCFCEF58-140E-4991-B74E-544F2B726867}"/>
    <cellStyle name="Currency 5 2 2 2 10 3" xfId="12132" xr:uid="{442BD463-278F-47C0-B4A1-08BA52D5928F}"/>
    <cellStyle name="Currency 5 2 2 2 11" xfId="4640" xr:uid="{00000000-0005-0000-0000-00006C0B0000}"/>
    <cellStyle name="Currency 5 2 2 2 11 2" xfId="13966" xr:uid="{18D63F3D-C317-4525-8E8E-C310FA648436}"/>
    <cellStyle name="Currency 5 2 2 2 12" xfId="8809" xr:uid="{6E2B58BA-BC61-49BF-A0FE-5BC79A050654}"/>
    <cellStyle name="Currency 5 2 2 2 13" xfId="9749" xr:uid="{C7BBA47F-FB86-4717-B6BA-827D9A1D7B30}"/>
    <cellStyle name="Currency 5 2 2 2 2" xfId="197" xr:uid="{00000000-0005-0000-0000-00006D0B0000}"/>
    <cellStyle name="Currency 5 2 2 2 2 10" xfId="4641" xr:uid="{00000000-0005-0000-0000-00006E0B0000}"/>
    <cellStyle name="Currency 5 2 2 2 2 10 2" xfId="13967" xr:uid="{D1B5D321-061B-4E5E-9DA4-1C9143CFCB84}"/>
    <cellStyle name="Currency 5 2 2 2 2 11" xfId="8912" xr:uid="{4079D27E-F98B-4445-AE20-FFD848158756}"/>
    <cellStyle name="Currency 5 2 2 2 2 12" xfId="9750" xr:uid="{C96B9190-3741-490C-BDA7-70EE9974A86F}"/>
    <cellStyle name="Currency 5 2 2 2 2 2" xfId="198" xr:uid="{00000000-0005-0000-0000-00006F0B0000}"/>
    <cellStyle name="Currency 5 2 2 2 2 2 10" xfId="9119" xr:uid="{2B97CFE9-E9FD-476D-A341-C695293642F3}"/>
    <cellStyle name="Currency 5 2 2 2 2 2 11" xfId="9751" xr:uid="{7A71E094-B0BF-4C7A-B428-7DD9F9289F0F}"/>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85A7E16A-E4C6-4EEE-9C8B-32948A42F38B}"/>
    <cellStyle name="Currency 5 2 2 2 2 2 2 2 3" xfId="12310" xr:uid="{83E808B6-81FB-45DC-B9ED-B7751F5C74C1}"/>
    <cellStyle name="Currency 5 2 2 2 2 2 2 3" xfId="5056" xr:uid="{00000000-0005-0000-0000-0000730B0000}"/>
    <cellStyle name="Currency 5 2 2 2 2 2 2 3 2" xfId="14382" xr:uid="{D0CB4600-1A01-47C5-A73A-057A6BF9489A}"/>
    <cellStyle name="Currency 5 2 2 2 2 2 2 4" xfId="9544" xr:uid="{77881B28-843C-4677-B92C-D2A5804BDB97}"/>
    <cellStyle name="Currency 5 2 2 2 2 2 2 5" xfId="10165" xr:uid="{01F57400-8377-4DB2-919C-F8B3E3838C5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CB77FA93-771B-44C9-A34C-3A203BCDC0C3}"/>
    <cellStyle name="Currency 5 2 2 2 2 2 3 2 3" xfId="12723" xr:uid="{825EBEA5-84C2-42AA-82B7-E5A32D642CE6}"/>
    <cellStyle name="Currency 5 2 2 2 2 2 3 3" xfId="5469" xr:uid="{00000000-0005-0000-0000-0000770B0000}"/>
    <cellStyle name="Currency 5 2 2 2 2 2 3 3 2" xfId="14795" xr:uid="{0E9F569C-41C5-4F9E-82BE-EC9687F0D442}"/>
    <cellStyle name="Currency 5 2 2 2 2 2 3 4" xfId="10578" xr:uid="{A871EC38-A1A4-44CF-B6B8-0B0724020A29}"/>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8974CD47-0356-4D6D-BC88-C3A0C1722BD2}"/>
    <cellStyle name="Currency 5 2 2 2 2 2 4 2 3" xfId="13136" xr:uid="{CD2DDF65-5B0D-46E1-9314-A853680049BE}"/>
    <cellStyle name="Currency 5 2 2 2 2 2 4 3" xfId="5882" xr:uid="{00000000-0005-0000-0000-00007B0B0000}"/>
    <cellStyle name="Currency 5 2 2 2 2 2 4 3 2" xfId="15208" xr:uid="{40E84395-F633-4825-A959-CC7ECC9BE994}"/>
    <cellStyle name="Currency 5 2 2 2 2 2 4 4" xfId="10991" xr:uid="{B394B4F2-F4BB-490B-B5E9-C4E9A392F40D}"/>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74169802-5B81-4FD1-9C74-09345D24CF88}"/>
    <cellStyle name="Currency 5 2 2 2 2 2 5 2 3" xfId="13549" xr:uid="{59FB7842-D8A1-4F29-B262-613DA5550D9A}"/>
    <cellStyle name="Currency 5 2 2 2 2 2 5 3" xfId="6295" xr:uid="{00000000-0005-0000-0000-00007F0B0000}"/>
    <cellStyle name="Currency 5 2 2 2 2 2 5 3 2" xfId="15621" xr:uid="{04FE5A23-794E-419A-B1BC-A165A8DC36BC}"/>
    <cellStyle name="Currency 5 2 2 2 2 2 5 4" xfId="11404" xr:uid="{D08401DA-F345-4B51-B1CF-6A4548094EEF}"/>
    <cellStyle name="Currency 5 2 2 2 2 2 6" xfId="2424" xr:uid="{00000000-0005-0000-0000-0000800B0000}"/>
    <cellStyle name="Currency 5 2 2 2 2 2 6 2" xfId="6708" xr:uid="{00000000-0005-0000-0000-0000810B0000}"/>
    <cellStyle name="Currency 5 2 2 2 2 2 6 2 2" xfId="16034" xr:uid="{72110C85-25EE-4646-ACC4-0BA643C8D612}"/>
    <cellStyle name="Currency 5 2 2 2 2 2 6 3" xfId="11817" xr:uid="{781592CB-BCA5-40CC-B0D9-8D4BEF2748DB}"/>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824A03FC-F226-4BCE-AF47-1B2992AEAFED}"/>
    <cellStyle name="Currency 5 2 2 2 2 2 8 3" xfId="12134" xr:uid="{2110E30E-D615-4703-B4D1-95F48B7724E5}"/>
    <cellStyle name="Currency 5 2 2 2 2 2 9" xfId="4642" xr:uid="{00000000-0005-0000-0000-0000850B0000}"/>
    <cellStyle name="Currency 5 2 2 2 2 2 9 2" xfId="13968" xr:uid="{0C12B11B-CAB1-4032-BF20-7E1611CD2276}"/>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2F095FFB-57AF-4FEE-AF56-CBF846989951}"/>
    <cellStyle name="Currency 5 2 2 2 2 3 2 3" xfId="12309" xr:uid="{CB6EFC36-3425-4225-A7F7-73C3D346A8AC}"/>
    <cellStyle name="Currency 5 2 2 2 2 3 3" xfId="5055" xr:uid="{00000000-0005-0000-0000-0000890B0000}"/>
    <cellStyle name="Currency 5 2 2 2 2 3 3 2" xfId="14381" xr:uid="{3C9E12E1-6C22-4B0A-970B-E4ACFE9CC50A}"/>
    <cellStyle name="Currency 5 2 2 2 2 3 4" xfId="9337" xr:uid="{A1FF44B9-A8E0-4A4E-9BE9-DA7FD7E326AE}"/>
    <cellStyle name="Currency 5 2 2 2 2 3 5" xfId="10164" xr:uid="{14DB8DE9-28DA-46F9-B62C-2D4603DDB5C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4EAAA71F-6BA5-4AD0-98FB-4B9CAA419EE2}"/>
    <cellStyle name="Currency 5 2 2 2 2 4 2 3" xfId="12722" xr:uid="{C428381D-8AF4-4C0B-9F4B-B02503600124}"/>
    <cellStyle name="Currency 5 2 2 2 2 4 3" xfId="5468" xr:uid="{00000000-0005-0000-0000-00008D0B0000}"/>
    <cellStyle name="Currency 5 2 2 2 2 4 3 2" xfId="14794" xr:uid="{88926A40-66D1-452C-BEFE-F2D8AE452DF2}"/>
    <cellStyle name="Currency 5 2 2 2 2 4 4" xfId="10577" xr:uid="{64417EEB-C273-4B3D-990E-C24F6BAEA8E7}"/>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B6AF67BC-D6D5-42B0-8C19-F217F4D23BA2}"/>
    <cellStyle name="Currency 5 2 2 2 2 5 2 3" xfId="13135" xr:uid="{12FBDA79-7744-493E-8093-7143D70AD5CB}"/>
    <cellStyle name="Currency 5 2 2 2 2 5 3" xfId="5881" xr:uid="{00000000-0005-0000-0000-0000910B0000}"/>
    <cellStyle name="Currency 5 2 2 2 2 5 3 2" xfId="15207" xr:uid="{1CC65F8D-8D6A-476A-A268-F578C97B60C3}"/>
    <cellStyle name="Currency 5 2 2 2 2 5 4" xfId="10990" xr:uid="{4AF4F337-4699-4D93-859C-4FE97E287852}"/>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37FB707F-B5F0-4B21-BD1A-37C162B1A4AE}"/>
    <cellStyle name="Currency 5 2 2 2 2 6 2 3" xfId="13548" xr:uid="{2973FF89-0B85-4EBF-A3E2-9DA4C8D44C2D}"/>
    <cellStyle name="Currency 5 2 2 2 2 6 3" xfId="6294" xr:uid="{00000000-0005-0000-0000-0000950B0000}"/>
    <cellStyle name="Currency 5 2 2 2 2 6 3 2" xfId="15620" xr:uid="{854FB4D7-A233-4309-90AE-3DACC5200D8A}"/>
    <cellStyle name="Currency 5 2 2 2 2 6 4" xfId="11403" xr:uid="{86BC7DBD-CC48-47E1-808B-0C96B3DDFAF5}"/>
    <cellStyle name="Currency 5 2 2 2 2 7" xfId="2423" xr:uid="{00000000-0005-0000-0000-0000960B0000}"/>
    <cellStyle name="Currency 5 2 2 2 2 7 2" xfId="6707" xr:uid="{00000000-0005-0000-0000-0000970B0000}"/>
    <cellStyle name="Currency 5 2 2 2 2 7 2 2" xfId="16033" xr:uid="{EFBF0CA1-6C8F-463F-8B83-2C0296485B22}"/>
    <cellStyle name="Currency 5 2 2 2 2 7 3" xfId="11816" xr:uid="{EC000EE2-0F70-4347-9585-C3A895EFC099}"/>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E1D1ED73-ADBB-4F5E-A669-5B578ED73325}"/>
    <cellStyle name="Currency 5 2 2 2 2 9 3" xfId="12133" xr:uid="{CF16614F-5E9F-49A6-BDC6-B48AA74A1BF7}"/>
    <cellStyle name="Currency 5 2 2 2 3" xfId="199" xr:uid="{00000000-0005-0000-0000-00009B0B0000}"/>
    <cellStyle name="Currency 5 2 2 2 3 10" xfId="9016" xr:uid="{706F9706-E49D-4995-B402-A842C879DBC8}"/>
    <cellStyle name="Currency 5 2 2 2 3 11" xfId="9752" xr:uid="{7A4E8007-1CB6-47A2-B266-07C23A474D6B}"/>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60C8A73C-02F4-4F07-B94F-79642944E8F3}"/>
    <cellStyle name="Currency 5 2 2 2 3 2 2 3" xfId="12311" xr:uid="{BCE94A66-21B0-4FF7-9D63-3D9C07488339}"/>
    <cellStyle name="Currency 5 2 2 2 3 2 3" xfId="5057" xr:uid="{00000000-0005-0000-0000-00009F0B0000}"/>
    <cellStyle name="Currency 5 2 2 2 3 2 3 2" xfId="14383" xr:uid="{4E39CA7C-6201-4E67-A474-EFC8FAD87D22}"/>
    <cellStyle name="Currency 5 2 2 2 3 2 4" xfId="9441" xr:uid="{B7048274-E02F-4E6A-9C9A-FAD4299F19B1}"/>
    <cellStyle name="Currency 5 2 2 2 3 2 5" xfId="10166" xr:uid="{81099DE8-74E8-4743-9B2F-4AF5BDD314A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F91A9466-B397-4D94-903D-84E49C6E7ED7}"/>
    <cellStyle name="Currency 5 2 2 2 3 3 2 3" xfId="12724" xr:uid="{FEB33CE0-869C-403B-A60E-2B66A03A46CA}"/>
    <cellStyle name="Currency 5 2 2 2 3 3 3" xfId="5470" xr:uid="{00000000-0005-0000-0000-0000A30B0000}"/>
    <cellStyle name="Currency 5 2 2 2 3 3 3 2" xfId="14796" xr:uid="{CC85E4F4-42CB-45E0-98F1-3E40022EC6CF}"/>
    <cellStyle name="Currency 5 2 2 2 3 3 4" xfId="10579" xr:uid="{B7782620-F09C-46AB-971B-E61C5E7FECB8}"/>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AC5385E3-74DA-42D7-9D18-29D7B2F0F41B}"/>
    <cellStyle name="Currency 5 2 2 2 3 4 2 3" xfId="13137" xr:uid="{7410CFF0-B4B4-4BA2-AC0D-E78923D689D5}"/>
    <cellStyle name="Currency 5 2 2 2 3 4 3" xfId="5883" xr:uid="{00000000-0005-0000-0000-0000A70B0000}"/>
    <cellStyle name="Currency 5 2 2 2 3 4 3 2" xfId="15209" xr:uid="{FC9F36EE-2F0E-4906-B6D0-F8DA596B655B}"/>
    <cellStyle name="Currency 5 2 2 2 3 4 4" xfId="10992" xr:uid="{60E33BEC-B0E9-4783-BE5F-FA0087E27DAE}"/>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36314EE4-F03E-4CBD-AA17-388839F4006B}"/>
    <cellStyle name="Currency 5 2 2 2 3 5 2 3" xfId="13550" xr:uid="{BD1F358E-3FBB-4155-B743-85AB5715BB06}"/>
    <cellStyle name="Currency 5 2 2 2 3 5 3" xfId="6296" xr:uid="{00000000-0005-0000-0000-0000AB0B0000}"/>
    <cellStyle name="Currency 5 2 2 2 3 5 3 2" xfId="15622" xr:uid="{23D508E6-62A5-4212-BDA6-3ED6AC1A2173}"/>
    <cellStyle name="Currency 5 2 2 2 3 5 4" xfId="11405" xr:uid="{83915C44-2A31-4AFB-BE28-01D024AE803B}"/>
    <cellStyle name="Currency 5 2 2 2 3 6" xfId="2425" xr:uid="{00000000-0005-0000-0000-0000AC0B0000}"/>
    <cellStyle name="Currency 5 2 2 2 3 6 2" xfId="6709" xr:uid="{00000000-0005-0000-0000-0000AD0B0000}"/>
    <cellStyle name="Currency 5 2 2 2 3 6 2 2" xfId="16035" xr:uid="{14DBD81F-052A-4E5A-9760-63C0F6BFBA0F}"/>
    <cellStyle name="Currency 5 2 2 2 3 6 3" xfId="11818" xr:uid="{EA176668-D5D0-4AE4-B651-B13D95561D96}"/>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74042D41-A87A-4C56-A8E2-E252007D610E}"/>
    <cellStyle name="Currency 5 2 2 2 3 8 3" xfId="12135" xr:uid="{100D5CF7-D0FD-4AEC-B626-B79B0D91733A}"/>
    <cellStyle name="Currency 5 2 2 2 3 9" xfId="4643" xr:uid="{00000000-0005-0000-0000-0000B10B0000}"/>
    <cellStyle name="Currency 5 2 2 2 3 9 2" xfId="13969" xr:uid="{AEC82C42-2657-4DC0-929F-00624A90CCA7}"/>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532E95A6-AC9B-4A2C-A27D-55CE569CEF93}"/>
    <cellStyle name="Currency 5 2 2 2 4 2 3" xfId="12308" xr:uid="{FDED4E14-0E6B-4B0C-8832-F8E2C242923E}"/>
    <cellStyle name="Currency 5 2 2 2 4 3" xfId="5054" xr:uid="{00000000-0005-0000-0000-0000B50B0000}"/>
    <cellStyle name="Currency 5 2 2 2 4 3 2" xfId="14380" xr:uid="{A7795A82-20C3-4FFF-8C99-51A85F59328C}"/>
    <cellStyle name="Currency 5 2 2 2 4 4" xfId="9234" xr:uid="{AAF147FE-13D8-48BD-A722-062B96166D61}"/>
    <cellStyle name="Currency 5 2 2 2 4 5" xfId="10163" xr:uid="{A172C37C-63D5-48B0-BF3E-F4B001AA3F96}"/>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62052472-31A4-455F-90FB-A9F55FF184A5}"/>
    <cellStyle name="Currency 5 2 2 2 5 2 3" xfId="12721" xr:uid="{23054A98-04D8-45CA-A840-1728BB94E14A}"/>
    <cellStyle name="Currency 5 2 2 2 5 3" xfId="5467" xr:uid="{00000000-0005-0000-0000-0000B90B0000}"/>
    <cellStyle name="Currency 5 2 2 2 5 3 2" xfId="14793" xr:uid="{B1518564-02D4-4BA2-A350-C984A119DF03}"/>
    <cellStyle name="Currency 5 2 2 2 5 4" xfId="10576" xr:uid="{5F2E0425-E80D-4DFD-8FB8-5876A8119C26}"/>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611D363D-EB8D-428C-AF3D-3302D6924B24}"/>
    <cellStyle name="Currency 5 2 2 2 6 2 3" xfId="13134" xr:uid="{E373AD27-96ED-4728-8767-51659E198997}"/>
    <cellStyle name="Currency 5 2 2 2 6 3" xfId="5880" xr:uid="{00000000-0005-0000-0000-0000BD0B0000}"/>
    <cellStyle name="Currency 5 2 2 2 6 3 2" xfId="15206" xr:uid="{DD8FA704-187B-40B5-AB30-FEA0094294B1}"/>
    <cellStyle name="Currency 5 2 2 2 6 4" xfId="10989" xr:uid="{5573F102-A4A1-4428-8849-B9412CA1969E}"/>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1A062B33-2B27-44B8-8A1D-2392E86D9C54}"/>
    <cellStyle name="Currency 5 2 2 2 7 2 3" xfId="13547" xr:uid="{5784338C-C54E-4079-A0EB-5CBFA3E66277}"/>
    <cellStyle name="Currency 5 2 2 2 7 3" xfId="6293" xr:uid="{00000000-0005-0000-0000-0000C10B0000}"/>
    <cellStyle name="Currency 5 2 2 2 7 3 2" xfId="15619" xr:uid="{CF81961B-F1EA-4CDE-988B-55DDED1F1D8B}"/>
    <cellStyle name="Currency 5 2 2 2 7 4" xfId="11402" xr:uid="{EE17B655-2F4E-470F-B070-E5C6BCC3BC6F}"/>
    <cellStyle name="Currency 5 2 2 2 8" xfId="2422" xr:uid="{00000000-0005-0000-0000-0000C20B0000}"/>
    <cellStyle name="Currency 5 2 2 2 8 2" xfId="6706" xr:uid="{00000000-0005-0000-0000-0000C30B0000}"/>
    <cellStyle name="Currency 5 2 2 2 8 2 2" xfId="16032" xr:uid="{FF0B8C0F-1348-44F7-BE47-ECB8CD674DA6}"/>
    <cellStyle name="Currency 5 2 2 2 8 3" xfId="11815" xr:uid="{85C5BA58-0478-4CC5-A2FF-259BC4EC81A5}"/>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E761817D-2E7C-4BE7-818F-815E5D5DC3A6}"/>
    <cellStyle name="Currency 5 2 2 3 11" xfId="8890" xr:uid="{F313D4EC-7666-4BAA-9452-39176957C213}"/>
    <cellStyle name="Currency 5 2 2 3 12" xfId="9753" xr:uid="{5EAB93BB-F5E5-48AF-A339-9AE98746758F}"/>
    <cellStyle name="Currency 5 2 2 3 2" xfId="201" xr:uid="{00000000-0005-0000-0000-0000C70B0000}"/>
    <cellStyle name="Currency 5 2 2 3 2 10" xfId="9097" xr:uid="{74199D2F-F17A-42DD-AC8B-D958FBFFCA8B}"/>
    <cellStyle name="Currency 5 2 2 3 2 11" xfId="9754" xr:uid="{3981E344-9A21-48FB-83A7-4B678CB3E0B6}"/>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69A48BF1-16A1-41BD-B856-4C424F7876FB}"/>
    <cellStyle name="Currency 5 2 2 3 2 2 2 3" xfId="12313" xr:uid="{DC0105EE-E025-464B-A3F2-035FB31DDE49}"/>
    <cellStyle name="Currency 5 2 2 3 2 2 3" xfId="5059" xr:uid="{00000000-0005-0000-0000-0000CB0B0000}"/>
    <cellStyle name="Currency 5 2 2 3 2 2 3 2" xfId="14385" xr:uid="{508EEE46-8DA8-4EE8-89AA-08785A122F69}"/>
    <cellStyle name="Currency 5 2 2 3 2 2 4" xfId="9522" xr:uid="{58EAFCD4-DA5B-47CB-A637-29DA003AA3FD}"/>
    <cellStyle name="Currency 5 2 2 3 2 2 5" xfId="10168" xr:uid="{2355AF7F-D956-4D9E-8A0C-6F1684DD1C02}"/>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155095D1-84EF-449B-BAA9-37CCBD52AF0B}"/>
    <cellStyle name="Currency 5 2 2 3 2 3 2 3" xfId="12726" xr:uid="{D08C5878-4D2B-4AA7-AFF8-E7B401FDE9EF}"/>
    <cellStyle name="Currency 5 2 2 3 2 3 3" xfId="5472" xr:uid="{00000000-0005-0000-0000-0000CF0B0000}"/>
    <cellStyle name="Currency 5 2 2 3 2 3 3 2" xfId="14798" xr:uid="{CE0D6769-86E9-4212-8526-F72C6B50AE46}"/>
    <cellStyle name="Currency 5 2 2 3 2 3 4" xfId="10581" xr:uid="{D9DCE6E9-D1F0-4286-B972-A424F242FF3C}"/>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B04AA3FC-4ED9-4997-AD7E-D7D69C89BC6A}"/>
    <cellStyle name="Currency 5 2 2 3 2 4 2 3" xfId="13139" xr:uid="{0879BD53-D185-45A3-BDEC-48EBC0D68C44}"/>
    <cellStyle name="Currency 5 2 2 3 2 4 3" xfId="5885" xr:uid="{00000000-0005-0000-0000-0000D30B0000}"/>
    <cellStyle name="Currency 5 2 2 3 2 4 3 2" xfId="15211" xr:uid="{C0503945-0E5F-447F-87D1-C606B13ADAE3}"/>
    <cellStyle name="Currency 5 2 2 3 2 4 4" xfId="10994" xr:uid="{975D8BB8-98B2-4441-A4C8-7E21D673E0A1}"/>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42B7FBD5-80B6-43AC-AA36-76F1EC2803B2}"/>
    <cellStyle name="Currency 5 2 2 3 2 5 2 3" xfId="13552" xr:uid="{61F61AF7-BC8F-4E74-B6E8-1FEA03ABFB64}"/>
    <cellStyle name="Currency 5 2 2 3 2 5 3" xfId="6298" xr:uid="{00000000-0005-0000-0000-0000D70B0000}"/>
    <cellStyle name="Currency 5 2 2 3 2 5 3 2" xfId="15624" xr:uid="{7D096787-3FB3-4302-9898-B675E49CAC74}"/>
    <cellStyle name="Currency 5 2 2 3 2 5 4" xfId="11407" xr:uid="{72B89131-26D6-423A-B4DE-1D0587016093}"/>
    <cellStyle name="Currency 5 2 2 3 2 6" xfId="2427" xr:uid="{00000000-0005-0000-0000-0000D80B0000}"/>
    <cellStyle name="Currency 5 2 2 3 2 6 2" xfId="6711" xr:uid="{00000000-0005-0000-0000-0000D90B0000}"/>
    <cellStyle name="Currency 5 2 2 3 2 6 2 2" xfId="16037" xr:uid="{3528D1F6-E8A4-47B5-AB5C-543425D8446F}"/>
    <cellStyle name="Currency 5 2 2 3 2 6 3" xfId="11820" xr:uid="{03B99640-B1B0-441F-BE38-BFEB720BA534}"/>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832BEBF3-5A27-4159-9F4B-469C01D72B63}"/>
    <cellStyle name="Currency 5 2 2 3 2 8 3" xfId="12137" xr:uid="{DD5D8ACE-80C6-4767-BFFF-225B606266E5}"/>
    <cellStyle name="Currency 5 2 2 3 2 9" xfId="4645" xr:uid="{00000000-0005-0000-0000-0000DD0B0000}"/>
    <cellStyle name="Currency 5 2 2 3 2 9 2" xfId="13971" xr:uid="{44005C94-FC52-421F-AC4D-4284A013CD11}"/>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8296BE92-D5AC-4E65-92AA-96DA12CF6B90}"/>
    <cellStyle name="Currency 5 2 2 3 3 2 3" xfId="12312" xr:uid="{7A3109E0-4911-41BE-A9AF-6FB4B9529172}"/>
    <cellStyle name="Currency 5 2 2 3 3 3" xfId="5058" xr:uid="{00000000-0005-0000-0000-0000E10B0000}"/>
    <cellStyle name="Currency 5 2 2 3 3 3 2" xfId="14384" xr:uid="{B06626D9-34D6-4E5E-9FBA-4D67C6022F6B}"/>
    <cellStyle name="Currency 5 2 2 3 3 4" xfId="9315" xr:uid="{A76EC348-1CDB-41C1-B9B8-9215FF30C619}"/>
    <cellStyle name="Currency 5 2 2 3 3 5" xfId="10167" xr:uid="{7B989EC6-946E-4329-9EBF-220FB6A9FA13}"/>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7B4D6C18-95A6-484A-8637-A583CC51A51F}"/>
    <cellStyle name="Currency 5 2 2 3 4 2 3" xfId="12725" xr:uid="{00C66A4B-A6C4-496F-AC14-C49D9ECF7CA0}"/>
    <cellStyle name="Currency 5 2 2 3 4 3" xfId="5471" xr:uid="{00000000-0005-0000-0000-0000E50B0000}"/>
    <cellStyle name="Currency 5 2 2 3 4 3 2" xfId="14797" xr:uid="{7B1AC1B1-7DFA-4C80-A048-765DC416B011}"/>
    <cellStyle name="Currency 5 2 2 3 4 4" xfId="10580" xr:uid="{E4E57ABE-1C01-4CC0-8749-85556ED7D21E}"/>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1351CC4C-B1BE-4C87-8953-C4E8CE079A49}"/>
    <cellStyle name="Currency 5 2 2 3 5 2 3" xfId="13138" xr:uid="{CF2DBBCC-D097-443E-B035-B2B2BF1447E7}"/>
    <cellStyle name="Currency 5 2 2 3 5 3" xfId="5884" xr:uid="{00000000-0005-0000-0000-0000E90B0000}"/>
    <cellStyle name="Currency 5 2 2 3 5 3 2" xfId="15210" xr:uid="{D49EC339-3BF0-45A1-A7E1-C14FBA3CED64}"/>
    <cellStyle name="Currency 5 2 2 3 5 4" xfId="10993" xr:uid="{2783538D-504B-4AAD-9041-423B7061E381}"/>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B06D09CF-4E5A-4D34-A82D-3D41A7B24758}"/>
    <cellStyle name="Currency 5 2 2 3 6 2 3" xfId="13551" xr:uid="{9CB8162D-725E-4035-86EF-B41FA4A36120}"/>
    <cellStyle name="Currency 5 2 2 3 6 3" xfId="6297" xr:uid="{00000000-0005-0000-0000-0000ED0B0000}"/>
    <cellStyle name="Currency 5 2 2 3 6 3 2" xfId="15623" xr:uid="{89257C64-7C28-4568-97DD-6AB295E4D958}"/>
    <cellStyle name="Currency 5 2 2 3 6 4" xfId="11406" xr:uid="{6AB5A389-C5A8-42E8-A66B-47C60A5231C6}"/>
    <cellStyle name="Currency 5 2 2 3 7" xfId="2426" xr:uid="{00000000-0005-0000-0000-0000EE0B0000}"/>
    <cellStyle name="Currency 5 2 2 3 7 2" xfId="6710" xr:uid="{00000000-0005-0000-0000-0000EF0B0000}"/>
    <cellStyle name="Currency 5 2 2 3 7 2 2" xfId="16036" xr:uid="{4D13088F-6F92-42ED-ABC0-D14ABBD45BBE}"/>
    <cellStyle name="Currency 5 2 2 3 7 3" xfId="11819" xr:uid="{DC0E139C-1C2A-4533-B4C2-A24768C5E78F}"/>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014F185D-A714-4F8E-AEDC-7FFDCF7E3762}"/>
    <cellStyle name="Currency 5 2 2 3 9 3" xfId="12136" xr:uid="{B275E2B2-53B0-4301-8709-DF1278EAB2F4}"/>
    <cellStyle name="Currency 5 2 2 4" xfId="202" xr:uid="{00000000-0005-0000-0000-0000F30B0000}"/>
    <cellStyle name="Currency 5 2 2 4 10" xfId="8994" xr:uid="{484CCE7A-1288-4C7F-ABD6-C45948DC4EC0}"/>
    <cellStyle name="Currency 5 2 2 4 11" xfId="9755" xr:uid="{CEB7EE7D-BE66-4A5B-B8E7-C93936EA2745}"/>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283AAF3F-B44F-4575-AB77-983228B11320}"/>
    <cellStyle name="Currency 5 2 2 4 2 2 3" xfId="12314" xr:uid="{6D57DF22-2844-43D5-8F52-54F8E5927A30}"/>
    <cellStyle name="Currency 5 2 2 4 2 3" xfId="5060" xr:uid="{00000000-0005-0000-0000-0000F70B0000}"/>
    <cellStyle name="Currency 5 2 2 4 2 3 2" xfId="14386" xr:uid="{6952D4BB-EAD9-4FE0-9812-86442BEBA3CB}"/>
    <cellStyle name="Currency 5 2 2 4 2 4" xfId="9419" xr:uid="{F03E4D2E-3BA9-4D5B-9C35-959DB128CBAE}"/>
    <cellStyle name="Currency 5 2 2 4 2 5" xfId="10169" xr:uid="{69BBDB18-1710-4600-9BCC-81F391FB8F9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2F6BDE44-7AA0-438F-913C-2E68214533D7}"/>
    <cellStyle name="Currency 5 2 2 4 3 2 3" xfId="12727" xr:uid="{71368CA2-F78B-4FE6-8887-24F427088C34}"/>
    <cellStyle name="Currency 5 2 2 4 3 3" xfId="5473" xr:uid="{00000000-0005-0000-0000-0000FB0B0000}"/>
    <cellStyle name="Currency 5 2 2 4 3 3 2" xfId="14799" xr:uid="{F88D179A-E226-4968-AFF6-0814F68C03CE}"/>
    <cellStyle name="Currency 5 2 2 4 3 4" xfId="10582" xr:uid="{7BCCE2CA-B38B-4440-BA8A-588A94042295}"/>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15C8EA6A-D0B7-4AB0-871E-2C434C31D5F2}"/>
    <cellStyle name="Currency 5 2 2 4 4 2 3" xfId="13140" xr:uid="{70210A4C-5675-436F-904A-7A25321C9605}"/>
    <cellStyle name="Currency 5 2 2 4 4 3" xfId="5886" xr:uid="{00000000-0005-0000-0000-0000FF0B0000}"/>
    <cellStyle name="Currency 5 2 2 4 4 3 2" xfId="15212" xr:uid="{A64EF153-23BB-4F2C-8F43-165DBD1831C2}"/>
    <cellStyle name="Currency 5 2 2 4 4 4" xfId="10995" xr:uid="{9AD33A97-640F-433F-940C-02F10B5C8101}"/>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F0247273-763F-4F8F-98BD-F500C99C982E}"/>
    <cellStyle name="Currency 5 2 2 4 5 2 3" xfId="13553" xr:uid="{A651B8EF-ABC9-4B0F-8CBD-4407699D5044}"/>
    <cellStyle name="Currency 5 2 2 4 5 3" xfId="6299" xr:uid="{00000000-0005-0000-0000-0000030C0000}"/>
    <cellStyle name="Currency 5 2 2 4 5 3 2" xfId="15625" xr:uid="{A7208BD4-6968-4103-92A7-BBDBE849D60E}"/>
    <cellStyle name="Currency 5 2 2 4 5 4" xfId="11408" xr:uid="{07057B39-8DE1-4207-85EA-E91729D43781}"/>
    <cellStyle name="Currency 5 2 2 4 6" xfId="2428" xr:uid="{00000000-0005-0000-0000-0000040C0000}"/>
    <cellStyle name="Currency 5 2 2 4 6 2" xfId="6712" xr:uid="{00000000-0005-0000-0000-0000050C0000}"/>
    <cellStyle name="Currency 5 2 2 4 6 2 2" xfId="16038" xr:uid="{B40A7E34-4563-4D3E-B7D1-0D9DCC6CF35E}"/>
    <cellStyle name="Currency 5 2 2 4 6 3" xfId="11821" xr:uid="{6B985661-1562-4336-A804-E8FB53086A8F}"/>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81B45EA7-FE98-4730-8D42-0DC1ADC3CBE0}"/>
    <cellStyle name="Currency 5 2 2 4 8 3" xfId="12138" xr:uid="{F91978AA-B947-452F-BA26-DA4481A775DD}"/>
    <cellStyle name="Currency 5 2 2 4 9" xfId="4646" xr:uid="{00000000-0005-0000-0000-0000090C0000}"/>
    <cellStyle name="Currency 5 2 2 4 9 2" xfId="13972" xr:uid="{D041EA72-70CA-4BC9-9914-FD11E049D4B3}"/>
    <cellStyle name="Currency 5 2 2 5" xfId="203" xr:uid="{00000000-0005-0000-0000-00000A0C0000}"/>
    <cellStyle name="Currency 5 2 2 5 10" xfId="9211" xr:uid="{586E1D8D-A72F-44A2-BAB5-A0BAD4827F6D}"/>
    <cellStyle name="Currency 5 2 2 5 11" xfId="9756" xr:uid="{13C7AF63-952E-40B6-9EB7-639FACA8DC01}"/>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12AFBF1C-626E-48C4-8A51-D9B7E3ED7FB1}"/>
    <cellStyle name="Currency 5 2 2 5 2 2 3" xfId="12315" xr:uid="{9B4C69A3-C50A-4DF0-932A-3F490611D6F0}"/>
    <cellStyle name="Currency 5 2 2 5 2 3" xfId="5061" xr:uid="{00000000-0005-0000-0000-00000E0C0000}"/>
    <cellStyle name="Currency 5 2 2 5 2 3 2" xfId="14387" xr:uid="{EC87648D-5F12-4EFF-A39F-640F1905F014}"/>
    <cellStyle name="Currency 5 2 2 5 2 4" xfId="9598" xr:uid="{EBD3270B-608E-49E1-8A20-C5ADF81FBC1B}"/>
    <cellStyle name="Currency 5 2 2 5 2 5" xfId="10170" xr:uid="{FE912245-DC82-49DB-910E-48A38036A381}"/>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0AAC164C-D445-4107-AA19-0022CBE86F6D}"/>
    <cellStyle name="Currency 5 2 2 5 3 2 3" xfId="12728" xr:uid="{3044CC8B-6229-44C7-88D4-7393A6A84561}"/>
    <cellStyle name="Currency 5 2 2 5 3 3" xfId="5474" xr:uid="{00000000-0005-0000-0000-0000120C0000}"/>
    <cellStyle name="Currency 5 2 2 5 3 3 2" xfId="14800" xr:uid="{0F74C342-6206-4FD4-AD74-D0B9EA824E11}"/>
    <cellStyle name="Currency 5 2 2 5 3 4" xfId="10583" xr:uid="{6FD9E866-E382-45F4-9625-4148D033E22A}"/>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23876634-1DC4-4193-8D83-AE1B89506BF3}"/>
    <cellStyle name="Currency 5 2 2 5 4 2 3" xfId="13141" xr:uid="{B0D155C2-CD72-4A8C-A11D-9721F1B90CAE}"/>
    <cellStyle name="Currency 5 2 2 5 4 3" xfId="5887" xr:uid="{00000000-0005-0000-0000-0000160C0000}"/>
    <cellStyle name="Currency 5 2 2 5 4 3 2" xfId="15213" xr:uid="{D06D58E1-382B-440C-8022-F09A4D6F63FA}"/>
    <cellStyle name="Currency 5 2 2 5 4 4" xfId="10996" xr:uid="{0F1D0180-88FA-4F34-A55E-FEA421B95EAA}"/>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E960E47D-7EAB-4730-B901-048AC3C01522}"/>
    <cellStyle name="Currency 5 2 2 5 5 2 3" xfId="13554" xr:uid="{42896600-E9DE-4026-9B79-2CE250F17EE8}"/>
    <cellStyle name="Currency 5 2 2 5 5 3" xfId="6300" xr:uid="{00000000-0005-0000-0000-00001A0C0000}"/>
    <cellStyle name="Currency 5 2 2 5 5 3 2" xfId="15626" xr:uid="{069997D4-BBC2-489D-B833-04AF888E6AC8}"/>
    <cellStyle name="Currency 5 2 2 5 5 4" xfId="11409" xr:uid="{ABD217FD-A1B4-434C-903E-5D8E5201A863}"/>
    <cellStyle name="Currency 5 2 2 5 6" xfId="2429" xr:uid="{00000000-0005-0000-0000-00001B0C0000}"/>
    <cellStyle name="Currency 5 2 2 5 6 2" xfId="6713" xr:uid="{00000000-0005-0000-0000-00001C0C0000}"/>
    <cellStyle name="Currency 5 2 2 5 6 2 2" xfId="16039" xr:uid="{F73A1D30-FC98-409D-BAC1-B684CA5464F1}"/>
    <cellStyle name="Currency 5 2 2 5 6 3" xfId="11822" xr:uid="{EB5C7425-D034-424D-BD10-824472CD6767}"/>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01FAF7A5-8432-4577-9240-3D7A47B9D878}"/>
    <cellStyle name="Currency 5 2 2 5 8 3" xfId="12139" xr:uid="{C9D4F3D4-B5D7-4283-8BA4-5B92551972F0}"/>
    <cellStyle name="Currency 5 2 2 5 9" xfId="4647" xr:uid="{00000000-0005-0000-0000-0000200C0000}"/>
    <cellStyle name="Currency 5 2 2 5 9 2" xfId="13973" xr:uid="{A24A602B-5281-4B3D-A547-BBDEF5B7030E}"/>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7CC0078A-C117-4DEC-87BE-C8A4516AA477}"/>
    <cellStyle name="Currency 5 2 4 11" xfId="8859" xr:uid="{D3A5F8AD-5F4E-4BEA-A9B4-9A705A015524}"/>
    <cellStyle name="Currency 5 2 4 12" xfId="9757" xr:uid="{464A9F0F-1C2F-4F79-967D-8D841C23FA3F}"/>
    <cellStyle name="Currency 5 2 4 2" xfId="206" xr:uid="{00000000-0005-0000-0000-0000250C0000}"/>
    <cellStyle name="Currency 5 2 4 2 10" xfId="9066" xr:uid="{2F7A28AF-2120-4AAF-A58B-33C2E07F597D}"/>
    <cellStyle name="Currency 5 2 4 2 11" xfId="9758" xr:uid="{A74551EF-1B2F-4631-BBA6-6B7238995092}"/>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5D5F54AE-1EC5-48A1-B901-FC1C8111D6AC}"/>
    <cellStyle name="Currency 5 2 4 2 2 2 3" xfId="12317" xr:uid="{9A4817CA-C5A3-4659-A0C5-EC496248F888}"/>
    <cellStyle name="Currency 5 2 4 2 2 3" xfId="5063" xr:uid="{00000000-0005-0000-0000-0000290C0000}"/>
    <cellStyle name="Currency 5 2 4 2 2 3 2" xfId="14389" xr:uid="{7AA4C811-57D6-4CD4-A48F-405300D0EF6A}"/>
    <cellStyle name="Currency 5 2 4 2 2 4" xfId="9491" xr:uid="{64B868C7-9024-4970-9E74-7DF82417BD7A}"/>
    <cellStyle name="Currency 5 2 4 2 2 5" xfId="10172" xr:uid="{83A95FBD-E86D-4CD2-B97B-C95B808E934F}"/>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2B3498E0-5BE4-4BDC-9A82-3390E4495555}"/>
    <cellStyle name="Currency 5 2 4 2 3 2 3" xfId="12730" xr:uid="{39145F8E-CB0D-4CAE-8305-E9A01EF5B406}"/>
    <cellStyle name="Currency 5 2 4 2 3 3" xfId="5476" xr:uid="{00000000-0005-0000-0000-00002D0C0000}"/>
    <cellStyle name="Currency 5 2 4 2 3 3 2" xfId="14802" xr:uid="{AA0EF411-99AB-4556-9C2C-22A5029D3FD2}"/>
    <cellStyle name="Currency 5 2 4 2 3 4" xfId="10585" xr:uid="{62185CF6-BD0B-4C8C-BEFA-E9FB051D24BF}"/>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883A9D23-7AD2-442A-ACA4-6D36370ABF40}"/>
    <cellStyle name="Currency 5 2 4 2 4 2 3" xfId="13143" xr:uid="{1FB16E6F-2DFE-4407-9A2A-350B9DACC7E0}"/>
    <cellStyle name="Currency 5 2 4 2 4 3" xfId="5889" xr:uid="{00000000-0005-0000-0000-0000310C0000}"/>
    <cellStyle name="Currency 5 2 4 2 4 3 2" xfId="15215" xr:uid="{3FF82710-D68D-42AC-AE8B-8282669CFBD7}"/>
    <cellStyle name="Currency 5 2 4 2 4 4" xfId="10998" xr:uid="{FBC65B9F-F323-49A3-855E-0043C1A210A2}"/>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CCA85D0C-6EF2-421A-A41C-7B0089E6433E}"/>
    <cellStyle name="Currency 5 2 4 2 5 2 3" xfId="13556" xr:uid="{18725FEB-FB28-40BC-803C-3107E897663D}"/>
    <cellStyle name="Currency 5 2 4 2 5 3" xfId="6302" xr:uid="{00000000-0005-0000-0000-0000350C0000}"/>
    <cellStyle name="Currency 5 2 4 2 5 3 2" xfId="15628" xr:uid="{1C2707DA-9FD9-4FDB-B151-8B814FABA6DA}"/>
    <cellStyle name="Currency 5 2 4 2 5 4" xfId="11411" xr:uid="{6B498C93-405B-4AE8-9B39-05A125177841}"/>
    <cellStyle name="Currency 5 2 4 2 6" xfId="2431" xr:uid="{00000000-0005-0000-0000-0000360C0000}"/>
    <cellStyle name="Currency 5 2 4 2 6 2" xfId="6715" xr:uid="{00000000-0005-0000-0000-0000370C0000}"/>
    <cellStyle name="Currency 5 2 4 2 6 2 2" xfId="16041" xr:uid="{F4787D5A-16BE-4D73-96A4-0154FFEA411C}"/>
    <cellStyle name="Currency 5 2 4 2 6 3" xfId="11824" xr:uid="{BB5271D5-3984-40B0-B589-C6A1812422E1}"/>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8C105619-87F0-4C33-911A-0225808DB368}"/>
    <cellStyle name="Currency 5 2 4 2 8 3" xfId="12141" xr:uid="{CEE8564D-FB5E-4A45-863B-3EAFC8C6DFF5}"/>
    <cellStyle name="Currency 5 2 4 2 9" xfId="4649" xr:uid="{00000000-0005-0000-0000-00003B0C0000}"/>
    <cellStyle name="Currency 5 2 4 2 9 2" xfId="13975" xr:uid="{C418743C-F693-4B34-A604-F49FB8937451}"/>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8179D9CE-DDEA-4FF0-8956-AD63BAE63D8F}"/>
    <cellStyle name="Currency 5 2 4 3 2 3" xfId="12316" xr:uid="{69741BFF-29FA-4C50-9613-22B0B217D237}"/>
    <cellStyle name="Currency 5 2 4 3 3" xfId="5062" xr:uid="{00000000-0005-0000-0000-00003F0C0000}"/>
    <cellStyle name="Currency 5 2 4 3 3 2" xfId="14388" xr:uid="{1D859DC8-5429-49BE-970B-7619F2041003}"/>
    <cellStyle name="Currency 5 2 4 3 4" xfId="9284" xr:uid="{1D0B72AC-AFAC-428F-8BF0-6DFF9565613D}"/>
    <cellStyle name="Currency 5 2 4 3 5" xfId="10171" xr:uid="{882DB2EA-9BB4-4355-B686-1854D55B19AE}"/>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9E034A8C-C3A5-4C12-8B6B-98F893D9FA7E}"/>
    <cellStyle name="Currency 5 2 4 4 2 3" xfId="12729" xr:uid="{E9D02A2F-897D-4043-9056-D761362FCD3C}"/>
    <cellStyle name="Currency 5 2 4 4 3" xfId="5475" xr:uid="{00000000-0005-0000-0000-0000430C0000}"/>
    <cellStyle name="Currency 5 2 4 4 3 2" xfId="14801" xr:uid="{2B3B348B-5E23-4FD1-B86C-465F6B2814C7}"/>
    <cellStyle name="Currency 5 2 4 4 4" xfId="10584" xr:uid="{9B818D26-DFA6-4DDD-BDBA-6FDC61547B96}"/>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D03DCF03-7974-49F9-87D1-477420DFB062}"/>
    <cellStyle name="Currency 5 2 4 5 2 3" xfId="13142" xr:uid="{0E1FE766-7C5C-4256-ACC6-D8A780C6BB00}"/>
    <cellStyle name="Currency 5 2 4 5 3" xfId="5888" xr:uid="{00000000-0005-0000-0000-0000470C0000}"/>
    <cellStyle name="Currency 5 2 4 5 3 2" xfId="15214" xr:uid="{40425591-E2E6-4ACA-A8E2-F9DE64CC1D28}"/>
    <cellStyle name="Currency 5 2 4 5 4" xfId="10997" xr:uid="{72829DB8-A656-4A58-BED5-36CAF196AF14}"/>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86185EFF-CDAB-4F4C-B7FC-068A6224370C}"/>
    <cellStyle name="Currency 5 2 4 6 2 3" xfId="13555" xr:uid="{409CA20D-5A1D-41AA-8238-DB09A3BC4486}"/>
    <cellStyle name="Currency 5 2 4 6 3" xfId="6301" xr:uid="{00000000-0005-0000-0000-00004B0C0000}"/>
    <cellStyle name="Currency 5 2 4 6 3 2" xfId="15627" xr:uid="{E8F6B3A5-2166-4F1C-85D2-36236FDDD6D5}"/>
    <cellStyle name="Currency 5 2 4 6 4" xfId="11410" xr:uid="{EE0CD5B8-3DB5-4B5B-9DB0-A196CDF0CA1B}"/>
    <cellStyle name="Currency 5 2 4 7" xfId="2430" xr:uid="{00000000-0005-0000-0000-00004C0C0000}"/>
    <cellStyle name="Currency 5 2 4 7 2" xfId="6714" xr:uid="{00000000-0005-0000-0000-00004D0C0000}"/>
    <cellStyle name="Currency 5 2 4 7 2 2" xfId="16040" xr:uid="{5A5B8367-E057-4E2D-B67E-C01CC2AE001D}"/>
    <cellStyle name="Currency 5 2 4 7 3" xfId="11823" xr:uid="{B9A0A50D-3F55-4FC9-BBC0-FD7EC5BC9E76}"/>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C6B1C3D2-BE0D-47E7-A573-85C186838BCA}"/>
    <cellStyle name="Currency 5 2 4 9 3" xfId="12140" xr:uid="{ACE191CC-001D-4197-828F-514F79507502}"/>
    <cellStyle name="Currency 5 2 5" xfId="207" xr:uid="{00000000-0005-0000-0000-0000510C0000}"/>
    <cellStyle name="Currency 5 2 5 10" xfId="8975" xr:uid="{3422EC31-C47F-46E0-A50C-FE05B1979387}"/>
    <cellStyle name="Currency 5 2 5 11" xfId="9759" xr:uid="{FC7FD8E4-EB0E-4C49-953E-ADAD86B10636}"/>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0BEE3FDB-CEA2-4579-96DB-6206C7FEC476}"/>
    <cellStyle name="Currency 5 2 5 2 2 3" xfId="12318" xr:uid="{DEF1E322-E6EC-4FC5-984E-AE45A74513F9}"/>
    <cellStyle name="Currency 5 2 5 2 3" xfId="5064" xr:uid="{00000000-0005-0000-0000-0000550C0000}"/>
    <cellStyle name="Currency 5 2 5 2 3 2" xfId="14390" xr:uid="{2C1B7111-C8CB-4449-A6C1-6E21DCDFC88C}"/>
    <cellStyle name="Currency 5 2 5 2 4" xfId="9400" xr:uid="{6620DDCD-05C0-4AFD-8A83-F1190101CCB3}"/>
    <cellStyle name="Currency 5 2 5 2 5" xfId="10173" xr:uid="{FAE851FB-F1DD-43FB-BCC6-0E380216F2B9}"/>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95CFC35B-8CC2-452F-9BF2-0C48F051A0FC}"/>
    <cellStyle name="Currency 5 2 5 3 2 3" xfId="12731" xr:uid="{05C6A7AF-2058-462C-8D66-3E20C5CDF9CF}"/>
    <cellStyle name="Currency 5 2 5 3 3" xfId="5477" xr:uid="{00000000-0005-0000-0000-0000590C0000}"/>
    <cellStyle name="Currency 5 2 5 3 3 2" xfId="14803" xr:uid="{B86BBB7D-27F8-4F25-AC0F-E59FC0DB09E9}"/>
    <cellStyle name="Currency 5 2 5 3 4" xfId="10586" xr:uid="{4724D87F-C5EC-4EAE-8A02-4242652B4F58}"/>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992CB03C-F855-4312-958B-2E007C05C38D}"/>
    <cellStyle name="Currency 5 2 5 4 2 3" xfId="13144" xr:uid="{CEB25562-792D-4958-AA0A-0A6B787E2D6D}"/>
    <cellStyle name="Currency 5 2 5 4 3" xfId="5890" xr:uid="{00000000-0005-0000-0000-00005D0C0000}"/>
    <cellStyle name="Currency 5 2 5 4 3 2" xfId="15216" xr:uid="{607644E7-86D6-4BF4-9294-7DEBDC35C372}"/>
    <cellStyle name="Currency 5 2 5 4 4" xfId="10999" xr:uid="{CD4C182C-AAC1-4214-AE4A-A3A27E493933}"/>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7AD287C0-F561-413A-85A2-D49D30FB227C}"/>
    <cellStyle name="Currency 5 2 5 5 2 3" xfId="13557" xr:uid="{2C9937A5-8913-4E2C-8E78-86B90353C8AC}"/>
    <cellStyle name="Currency 5 2 5 5 3" xfId="6303" xr:uid="{00000000-0005-0000-0000-0000610C0000}"/>
    <cellStyle name="Currency 5 2 5 5 3 2" xfId="15629" xr:uid="{19ADBC02-24CE-4F05-824D-7BA961E1D11A}"/>
    <cellStyle name="Currency 5 2 5 5 4" xfId="11412" xr:uid="{D17794AB-0687-45C9-89CC-F274BFF38015}"/>
    <cellStyle name="Currency 5 2 5 6" xfId="2432" xr:uid="{00000000-0005-0000-0000-0000620C0000}"/>
    <cellStyle name="Currency 5 2 5 6 2" xfId="6716" xr:uid="{00000000-0005-0000-0000-0000630C0000}"/>
    <cellStyle name="Currency 5 2 5 6 2 2" xfId="16042" xr:uid="{830E28C8-BB04-440D-8DC3-6B77171DD86B}"/>
    <cellStyle name="Currency 5 2 5 6 3" xfId="11825" xr:uid="{BCF41BB0-2F99-464B-8E16-1412085AD053}"/>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B173B7B4-0CAC-45C6-A734-045419704338}"/>
    <cellStyle name="Currency 5 2 5 8 3" xfId="12142" xr:uid="{A96A6C32-4550-4B53-92A0-C0D3E1B89CA2}"/>
    <cellStyle name="Currency 5 2 5 9" xfId="4650" xr:uid="{00000000-0005-0000-0000-0000670C0000}"/>
    <cellStyle name="Currency 5 2 5 9 2" xfId="13976" xr:uid="{49058F2D-F77E-42A4-8688-248025FFA8C7}"/>
    <cellStyle name="Currency 5 2 6" xfId="208" xr:uid="{00000000-0005-0000-0000-0000680C0000}"/>
    <cellStyle name="Currency 5 2 6 10" xfId="9178" xr:uid="{19F6D70E-88E4-4E39-A1A9-3FF3D840E2F9}"/>
    <cellStyle name="Currency 5 2 6 11" xfId="9760" xr:uid="{26D37369-FCF4-4891-993D-4D3360185036}"/>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91DD5D19-4AC2-4262-9188-AEDB5126D2EE}"/>
    <cellStyle name="Currency 5 2 6 2 2 3" xfId="12319" xr:uid="{66793717-007E-4383-943A-EE6E19AFA560}"/>
    <cellStyle name="Currency 5 2 6 2 3" xfId="5065" xr:uid="{00000000-0005-0000-0000-00006C0C0000}"/>
    <cellStyle name="Currency 5 2 6 2 3 2" xfId="14391" xr:uid="{33C233AE-0792-4EAF-9B0D-F42EA2540A51}"/>
    <cellStyle name="Currency 5 2 6 2 4" xfId="9599" xr:uid="{C2EE182C-D73D-4E6C-9671-0484CB4E8D68}"/>
    <cellStyle name="Currency 5 2 6 2 5" xfId="10174" xr:uid="{AADF35EE-5C98-40E3-BCD6-7FBB772CF1EB}"/>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824FB7A5-1B1B-4287-8EFA-EA8CC2B2EAB1}"/>
    <cellStyle name="Currency 5 2 6 3 2 3" xfId="12732" xr:uid="{1433CEF8-0D96-4DCA-BFE3-D59822AA99B5}"/>
    <cellStyle name="Currency 5 2 6 3 3" xfId="5478" xr:uid="{00000000-0005-0000-0000-0000700C0000}"/>
    <cellStyle name="Currency 5 2 6 3 3 2" xfId="14804" xr:uid="{0387AE4C-E300-46A9-9B02-D4700EDDEF9B}"/>
    <cellStyle name="Currency 5 2 6 3 4" xfId="10587" xr:uid="{31A9E3BF-DC1D-4467-8FA7-12738F58E2A4}"/>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588A12ED-47F6-438F-99EC-947F6F64AB02}"/>
    <cellStyle name="Currency 5 2 6 4 2 3" xfId="13145" xr:uid="{2D0FD330-446A-4059-923C-3442B2D577C3}"/>
    <cellStyle name="Currency 5 2 6 4 3" xfId="5891" xr:uid="{00000000-0005-0000-0000-0000740C0000}"/>
    <cellStyle name="Currency 5 2 6 4 3 2" xfId="15217" xr:uid="{BAEC5B26-88D6-4056-8244-558B661E4E89}"/>
    <cellStyle name="Currency 5 2 6 4 4" xfId="11000" xr:uid="{4A2DF007-F8BD-44D1-9F18-A14C6AE46721}"/>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1C133ADC-5EAB-4D80-9860-E4BC7ECA5D88}"/>
    <cellStyle name="Currency 5 2 6 5 2 3" xfId="13558" xr:uid="{3CC67DAE-58DD-427F-8D17-90F3E51B47D7}"/>
    <cellStyle name="Currency 5 2 6 5 3" xfId="6304" xr:uid="{00000000-0005-0000-0000-0000780C0000}"/>
    <cellStyle name="Currency 5 2 6 5 3 2" xfId="15630" xr:uid="{2288B7DA-771C-4D84-B15F-F3BDA4912CDD}"/>
    <cellStyle name="Currency 5 2 6 5 4" xfId="11413" xr:uid="{013282CF-82F8-49BC-9B2A-331E4AC1BD2B}"/>
    <cellStyle name="Currency 5 2 6 6" xfId="2433" xr:uid="{00000000-0005-0000-0000-0000790C0000}"/>
    <cellStyle name="Currency 5 2 6 6 2" xfId="6717" xr:uid="{00000000-0005-0000-0000-00007A0C0000}"/>
    <cellStyle name="Currency 5 2 6 6 2 2" xfId="16043" xr:uid="{00256997-00DD-4AD8-8B8E-098E8196113F}"/>
    <cellStyle name="Currency 5 2 6 6 3" xfId="11826" xr:uid="{BE9F2A47-D492-4B8F-A157-839079A03D3E}"/>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BC244436-94F0-4EFF-AAEA-D6C38A39CB66}"/>
    <cellStyle name="Currency 5 2 6 8 3" xfId="12143" xr:uid="{8A91BF4E-6B9C-40AC-A941-14EFE1786759}"/>
    <cellStyle name="Currency 5 2 6 9" xfId="4651" xr:uid="{00000000-0005-0000-0000-00007E0C0000}"/>
    <cellStyle name="Currency 5 2 6 9 2" xfId="13977" xr:uid="{9C5A1E1B-1EA7-4D3F-B1B0-E146DD1C49F5}"/>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6C5CE3B1-2BAD-4035-A168-62C3236BBB29}"/>
    <cellStyle name="Currency 5 3 2 10 3" xfId="12144" xr:uid="{D28934CC-656C-43F1-BD6F-3889328B323E}"/>
    <cellStyle name="Currency 5 3 2 11" xfId="4652" xr:uid="{00000000-0005-0000-0000-0000840C0000}"/>
    <cellStyle name="Currency 5 3 2 11 2" xfId="13978" xr:uid="{5369FCAA-CB4C-4CBE-8E5B-BD0E097297DC}"/>
    <cellStyle name="Currency 5 3 2 12" xfId="8810" xr:uid="{C5234FF9-D509-4CD8-ADA1-D3604CCF3D1F}"/>
    <cellStyle name="Currency 5 3 2 13" xfId="9761" xr:uid="{C4314EEA-D897-4B07-B4A1-3D13F2B7573B}"/>
    <cellStyle name="Currency 5 3 2 2" xfId="211" xr:uid="{00000000-0005-0000-0000-0000850C0000}"/>
    <cellStyle name="Currency 5 3 2 2 10" xfId="4653" xr:uid="{00000000-0005-0000-0000-0000860C0000}"/>
    <cellStyle name="Currency 5 3 2 2 10 2" xfId="13979" xr:uid="{3D4CC952-A911-469E-8C06-6C9EE6605023}"/>
    <cellStyle name="Currency 5 3 2 2 11" xfId="8913" xr:uid="{FE033F82-2F16-4925-9899-F927AB9AA612}"/>
    <cellStyle name="Currency 5 3 2 2 12" xfId="9762" xr:uid="{D42C0050-BD11-4145-B265-C12F0A79B513}"/>
    <cellStyle name="Currency 5 3 2 2 2" xfId="212" xr:uid="{00000000-0005-0000-0000-0000870C0000}"/>
    <cellStyle name="Currency 5 3 2 2 2 10" xfId="9120" xr:uid="{D5536A1F-8418-4CB5-B1E0-470AD716374A}"/>
    <cellStyle name="Currency 5 3 2 2 2 11" xfId="9763" xr:uid="{2647C6E8-CDAC-41C2-8B60-47222B126C7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7BAC07A5-7E21-4814-BADC-EB3F9435D9D5}"/>
    <cellStyle name="Currency 5 3 2 2 2 2 2 3" xfId="12322" xr:uid="{DA9B2B70-FF87-4760-9CE1-C1483C084689}"/>
    <cellStyle name="Currency 5 3 2 2 2 2 3" xfId="5068" xr:uid="{00000000-0005-0000-0000-00008B0C0000}"/>
    <cellStyle name="Currency 5 3 2 2 2 2 3 2" xfId="14394" xr:uid="{7CAE7F0C-3B43-4102-84B6-B8A268502334}"/>
    <cellStyle name="Currency 5 3 2 2 2 2 4" xfId="9545" xr:uid="{F6C268D6-0334-42F7-AE4F-535ADD09B625}"/>
    <cellStyle name="Currency 5 3 2 2 2 2 5" xfId="10177" xr:uid="{4380D73A-45E1-4B3E-96B0-D8783DCA024B}"/>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1EB963BC-3B05-4DFB-97EE-92CF1E71E07A}"/>
    <cellStyle name="Currency 5 3 2 2 2 3 2 3" xfId="12735" xr:uid="{3E4E10C4-6283-401C-AE18-384551802BD7}"/>
    <cellStyle name="Currency 5 3 2 2 2 3 3" xfId="5481" xr:uid="{00000000-0005-0000-0000-00008F0C0000}"/>
    <cellStyle name="Currency 5 3 2 2 2 3 3 2" xfId="14807" xr:uid="{B2DE73C1-761F-4CD7-AF26-076E900B455B}"/>
    <cellStyle name="Currency 5 3 2 2 2 3 4" xfId="10590" xr:uid="{BF8A078B-B4CC-408F-AD02-328AC236A642}"/>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DC1FD833-DEAC-43B2-9F86-A1E7F6EAB629}"/>
    <cellStyle name="Currency 5 3 2 2 2 4 2 3" xfId="13148" xr:uid="{C6E5D12E-2F04-4CD3-9080-AF4207EF4286}"/>
    <cellStyle name="Currency 5 3 2 2 2 4 3" xfId="5894" xr:uid="{00000000-0005-0000-0000-0000930C0000}"/>
    <cellStyle name="Currency 5 3 2 2 2 4 3 2" xfId="15220" xr:uid="{3D65B1FE-D7F8-4ED1-AAB6-9E2476C32C86}"/>
    <cellStyle name="Currency 5 3 2 2 2 4 4" xfId="11003" xr:uid="{4BDB2FCC-ECAF-46EC-B18B-D3B22FC85CAD}"/>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37A26E0F-D8EC-4F26-90D2-36E2FBAA1AC7}"/>
    <cellStyle name="Currency 5 3 2 2 2 5 2 3" xfId="13561" xr:uid="{F504684F-D428-4FA2-9206-23B324F47E0E}"/>
    <cellStyle name="Currency 5 3 2 2 2 5 3" xfId="6307" xr:uid="{00000000-0005-0000-0000-0000970C0000}"/>
    <cellStyle name="Currency 5 3 2 2 2 5 3 2" xfId="15633" xr:uid="{8D66A526-3BD5-4D2A-ACA2-134D6001D63C}"/>
    <cellStyle name="Currency 5 3 2 2 2 5 4" xfId="11416" xr:uid="{345A4F8D-7241-44EC-86F0-7872C094D4C0}"/>
    <cellStyle name="Currency 5 3 2 2 2 6" xfId="2436" xr:uid="{00000000-0005-0000-0000-0000980C0000}"/>
    <cellStyle name="Currency 5 3 2 2 2 6 2" xfId="6720" xr:uid="{00000000-0005-0000-0000-0000990C0000}"/>
    <cellStyle name="Currency 5 3 2 2 2 6 2 2" xfId="16046" xr:uid="{9C3E2185-53D7-4AE4-A0A4-B125E1D8B5AD}"/>
    <cellStyle name="Currency 5 3 2 2 2 6 3" xfId="11829" xr:uid="{554D881E-1B84-494F-814E-61BE81A65B05}"/>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40617BBB-054E-4FF1-A10C-F237D2E48BEB}"/>
    <cellStyle name="Currency 5 3 2 2 2 8 3" xfId="12146" xr:uid="{93B302EA-D401-4200-BE6D-A883B9B47A9B}"/>
    <cellStyle name="Currency 5 3 2 2 2 9" xfId="4654" xr:uid="{00000000-0005-0000-0000-00009D0C0000}"/>
    <cellStyle name="Currency 5 3 2 2 2 9 2" xfId="13980" xr:uid="{1BC91AA1-93F6-470C-A466-E78316C7D78D}"/>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7F6ECC06-FF07-4AF1-AAAD-525455D3F867}"/>
    <cellStyle name="Currency 5 3 2 2 3 2 3" xfId="12321" xr:uid="{BDB9E722-29F4-4C15-A461-2580B087F039}"/>
    <cellStyle name="Currency 5 3 2 2 3 3" xfId="5067" xr:uid="{00000000-0005-0000-0000-0000A10C0000}"/>
    <cellStyle name="Currency 5 3 2 2 3 3 2" xfId="14393" xr:uid="{87732DD1-0AE3-41A8-86DD-85EE6406CF43}"/>
    <cellStyle name="Currency 5 3 2 2 3 4" xfId="9338" xr:uid="{E79296CA-9516-4DDA-84B2-A3B13AAA9D9D}"/>
    <cellStyle name="Currency 5 3 2 2 3 5" xfId="10176" xr:uid="{C178BB6B-C27F-42E2-8244-D13C7D8A9E59}"/>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536DACCE-5E2D-485C-A5D6-8D31057A89C4}"/>
    <cellStyle name="Currency 5 3 2 2 4 2 3" xfId="12734" xr:uid="{C6938B69-F854-4119-B1CB-447499ED73B2}"/>
    <cellStyle name="Currency 5 3 2 2 4 3" xfId="5480" xr:uid="{00000000-0005-0000-0000-0000A50C0000}"/>
    <cellStyle name="Currency 5 3 2 2 4 3 2" xfId="14806" xr:uid="{0613C69E-A5F0-4748-8B55-6A92F16F4FBD}"/>
    <cellStyle name="Currency 5 3 2 2 4 4" xfId="10589" xr:uid="{365ECC0F-FDEB-45CD-9E00-41D56AE7B8F5}"/>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23AB8BDE-D1E4-46D9-9406-814725936FB4}"/>
    <cellStyle name="Currency 5 3 2 2 5 2 3" xfId="13147" xr:uid="{735B7A6E-6E3F-471F-BFA4-4D5A95983EEB}"/>
    <cellStyle name="Currency 5 3 2 2 5 3" xfId="5893" xr:uid="{00000000-0005-0000-0000-0000A90C0000}"/>
    <cellStyle name="Currency 5 3 2 2 5 3 2" xfId="15219" xr:uid="{F628BD80-969A-4EE2-B49B-1DE60B0C0C70}"/>
    <cellStyle name="Currency 5 3 2 2 5 4" xfId="11002" xr:uid="{B3BC3F7D-87A5-446F-9848-AAB43F9F49AC}"/>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78764C07-7783-4544-994A-EC9A7486289D}"/>
    <cellStyle name="Currency 5 3 2 2 6 2 3" xfId="13560" xr:uid="{9F05A4B3-6EE0-48B5-85BB-C82831E75501}"/>
    <cellStyle name="Currency 5 3 2 2 6 3" xfId="6306" xr:uid="{00000000-0005-0000-0000-0000AD0C0000}"/>
    <cellStyle name="Currency 5 3 2 2 6 3 2" xfId="15632" xr:uid="{071CD544-E508-4B3E-9E86-7425F97D7313}"/>
    <cellStyle name="Currency 5 3 2 2 6 4" xfId="11415" xr:uid="{437BCCD4-5A1E-4D19-A7D4-FD2822F0788B}"/>
    <cellStyle name="Currency 5 3 2 2 7" xfId="2435" xr:uid="{00000000-0005-0000-0000-0000AE0C0000}"/>
    <cellStyle name="Currency 5 3 2 2 7 2" xfId="6719" xr:uid="{00000000-0005-0000-0000-0000AF0C0000}"/>
    <cellStyle name="Currency 5 3 2 2 7 2 2" xfId="16045" xr:uid="{4E5FDE99-C200-411B-A6E2-622E5D7C8753}"/>
    <cellStyle name="Currency 5 3 2 2 7 3" xfId="11828" xr:uid="{A4B8FDB3-EA5D-4180-8D8E-2FB00161DC02}"/>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4FEEA487-79A1-4989-8B0B-5F1E403FCCB2}"/>
    <cellStyle name="Currency 5 3 2 2 9 3" xfId="12145" xr:uid="{48C5A68F-17AF-4656-ACBD-771ECB45B0DE}"/>
    <cellStyle name="Currency 5 3 2 3" xfId="213" xr:uid="{00000000-0005-0000-0000-0000B30C0000}"/>
    <cellStyle name="Currency 5 3 2 3 10" xfId="9017" xr:uid="{A6213F8D-EE09-4095-B9BE-99C55DEE210F}"/>
    <cellStyle name="Currency 5 3 2 3 11" xfId="9764" xr:uid="{607B1F49-6E3E-4F96-8E61-4DF9756177F5}"/>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36EA0279-6287-4155-81F6-AF42636235EE}"/>
    <cellStyle name="Currency 5 3 2 3 2 2 3" xfId="12323" xr:uid="{034C4F57-470D-48E9-9CC7-C4573F16DB2D}"/>
    <cellStyle name="Currency 5 3 2 3 2 3" xfId="5069" xr:uid="{00000000-0005-0000-0000-0000B70C0000}"/>
    <cellStyle name="Currency 5 3 2 3 2 3 2" xfId="14395" xr:uid="{6BD91F82-9F5E-4602-A3B5-4C8FB7913C1F}"/>
    <cellStyle name="Currency 5 3 2 3 2 4" xfId="9442" xr:uid="{AE48BD1F-B5DA-4007-BBEE-128FE2FE74D7}"/>
    <cellStyle name="Currency 5 3 2 3 2 5" xfId="10178" xr:uid="{6CCF7266-EBA4-4ED8-B8D1-CDB8C06A2F5E}"/>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3F604EA2-8C03-4F53-A98B-B45F266559FB}"/>
    <cellStyle name="Currency 5 3 2 3 3 2 3" xfId="12736" xr:uid="{E14D4243-DF94-46E7-94F6-E88E38A35F61}"/>
    <cellStyle name="Currency 5 3 2 3 3 3" xfId="5482" xr:uid="{00000000-0005-0000-0000-0000BB0C0000}"/>
    <cellStyle name="Currency 5 3 2 3 3 3 2" xfId="14808" xr:uid="{89E11722-10E7-48E7-8AA4-6F0ED84CC4A0}"/>
    <cellStyle name="Currency 5 3 2 3 3 4" xfId="10591" xr:uid="{662983DD-48BD-4D71-9A63-5190562EFE83}"/>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A8D4660F-AAA6-4878-A2E1-3A6261B4949C}"/>
    <cellStyle name="Currency 5 3 2 3 4 2 3" xfId="13149" xr:uid="{9CC0FA14-24A3-475C-B44D-2E642C8D6B44}"/>
    <cellStyle name="Currency 5 3 2 3 4 3" xfId="5895" xr:uid="{00000000-0005-0000-0000-0000BF0C0000}"/>
    <cellStyle name="Currency 5 3 2 3 4 3 2" xfId="15221" xr:uid="{0C393E6D-D08E-40DB-982F-D08C3F6950B4}"/>
    <cellStyle name="Currency 5 3 2 3 4 4" xfId="11004" xr:uid="{A76F7FF8-75B9-4938-A5F2-76E7456A642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43185D66-5EE1-470D-A3C4-61D8E1214D46}"/>
    <cellStyle name="Currency 5 3 2 3 5 2 3" xfId="13562" xr:uid="{010AE817-FED6-4B30-B709-A3BCF70F1AB8}"/>
    <cellStyle name="Currency 5 3 2 3 5 3" xfId="6308" xr:uid="{00000000-0005-0000-0000-0000C30C0000}"/>
    <cellStyle name="Currency 5 3 2 3 5 3 2" xfId="15634" xr:uid="{2E0B17B9-0B30-4F23-B36B-07D771DD5F50}"/>
    <cellStyle name="Currency 5 3 2 3 5 4" xfId="11417" xr:uid="{AC7CDE39-A221-4228-A99A-E76A6805C900}"/>
    <cellStyle name="Currency 5 3 2 3 6" xfId="2437" xr:uid="{00000000-0005-0000-0000-0000C40C0000}"/>
    <cellStyle name="Currency 5 3 2 3 6 2" xfId="6721" xr:uid="{00000000-0005-0000-0000-0000C50C0000}"/>
    <cellStyle name="Currency 5 3 2 3 6 2 2" xfId="16047" xr:uid="{A56F203B-CF5C-4B78-8EE8-819EE48F1A41}"/>
    <cellStyle name="Currency 5 3 2 3 6 3" xfId="11830" xr:uid="{BB9A0716-4AA9-4155-9C7A-DD1625CE28D2}"/>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B39956C4-F54C-4A05-B353-E2A7F02C3008}"/>
    <cellStyle name="Currency 5 3 2 3 8 3" xfId="12147" xr:uid="{17B088BD-C34B-4D0C-A22D-7971804C87C5}"/>
    <cellStyle name="Currency 5 3 2 3 9" xfId="4655" xr:uid="{00000000-0005-0000-0000-0000C90C0000}"/>
    <cellStyle name="Currency 5 3 2 3 9 2" xfId="13981" xr:uid="{8E0A2C45-E4EC-4E4A-9B8A-7BBD218ABD68}"/>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575F7E13-E07C-4210-AE81-EB2E5CC18AB9}"/>
    <cellStyle name="Currency 5 3 2 4 2 3" xfId="12320" xr:uid="{6AC64943-1388-4045-A553-CA12C26338EE}"/>
    <cellStyle name="Currency 5 3 2 4 3" xfId="5066" xr:uid="{00000000-0005-0000-0000-0000CD0C0000}"/>
    <cellStyle name="Currency 5 3 2 4 3 2" xfId="14392" xr:uid="{7D50C01B-F0A1-46D5-993E-56DDFE67E7B5}"/>
    <cellStyle name="Currency 5 3 2 4 4" xfId="9235" xr:uid="{F2FD4117-6EF1-4663-964A-AB5B57E6F469}"/>
    <cellStyle name="Currency 5 3 2 4 5" xfId="10175" xr:uid="{C8068FB1-42E7-40C3-A7E2-D7E8A87FF214}"/>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B398AA64-4B7B-48D3-9A7C-90B99A60A686}"/>
    <cellStyle name="Currency 5 3 2 5 2 3" xfId="12733" xr:uid="{FE1F0FE0-59F5-43B3-9074-3D123ADABB21}"/>
    <cellStyle name="Currency 5 3 2 5 3" xfId="5479" xr:uid="{00000000-0005-0000-0000-0000D10C0000}"/>
    <cellStyle name="Currency 5 3 2 5 3 2" xfId="14805" xr:uid="{CC1DEDFA-0EFF-436E-9D12-2BD093C8F103}"/>
    <cellStyle name="Currency 5 3 2 5 4" xfId="10588" xr:uid="{6065D976-2D03-4C1B-99CD-3F09C30FA5BA}"/>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36F8BF2C-DE08-4A4D-80D3-292DA6447054}"/>
    <cellStyle name="Currency 5 3 2 6 2 3" xfId="13146" xr:uid="{73394866-3A33-49F6-898D-784F88A99570}"/>
    <cellStyle name="Currency 5 3 2 6 3" xfId="5892" xr:uid="{00000000-0005-0000-0000-0000D50C0000}"/>
    <cellStyle name="Currency 5 3 2 6 3 2" xfId="15218" xr:uid="{E2750A04-807E-4B79-9C1A-08A4F41D3F78}"/>
    <cellStyle name="Currency 5 3 2 6 4" xfId="11001" xr:uid="{B25B34F0-6E03-4FAD-B066-AD7A6E1CB6A9}"/>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A5A13BF1-AFBF-4818-999F-ED9282F23170}"/>
    <cellStyle name="Currency 5 3 2 7 2 3" xfId="13559" xr:uid="{B75F4DF9-EB0F-4B65-80D1-8162A3F6D09C}"/>
    <cellStyle name="Currency 5 3 2 7 3" xfId="6305" xr:uid="{00000000-0005-0000-0000-0000D90C0000}"/>
    <cellStyle name="Currency 5 3 2 7 3 2" xfId="15631" xr:uid="{723DC8D2-F725-46B3-8984-EBB78AAAC62A}"/>
    <cellStyle name="Currency 5 3 2 7 4" xfId="11414" xr:uid="{277CA34F-48FF-4C3D-AAD0-688FEA855587}"/>
    <cellStyle name="Currency 5 3 2 8" xfId="2434" xr:uid="{00000000-0005-0000-0000-0000DA0C0000}"/>
    <cellStyle name="Currency 5 3 2 8 2" xfId="6718" xr:uid="{00000000-0005-0000-0000-0000DB0C0000}"/>
    <cellStyle name="Currency 5 3 2 8 2 2" xfId="16044" xr:uid="{0920224B-B770-45B7-8156-C5BAD0328D9B}"/>
    <cellStyle name="Currency 5 3 2 8 3" xfId="11827" xr:uid="{8E3068FF-8C04-4B46-8B19-D4715ED62DDC}"/>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4B0CF333-0688-4C22-AF90-EEFCE7215C6E}"/>
    <cellStyle name="Currency 5 3 3 11" xfId="8882" xr:uid="{A86B3ED4-B552-42F3-9E77-C6763F86EEE6}"/>
    <cellStyle name="Currency 5 3 3 12" xfId="9765" xr:uid="{5BB4C4E1-5572-4716-85A0-B4E888E53652}"/>
    <cellStyle name="Currency 5 3 3 2" xfId="215" xr:uid="{00000000-0005-0000-0000-0000DF0C0000}"/>
    <cellStyle name="Currency 5 3 3 2 10" xfId="9089" xr:uid="{7CFB8DCC-02AE-4CC5-8E10-3D33399ECECE}"/>
    <cellStyle name="Currency 5 3 3 2 11" xfId="9766" xr:uid="{F42487DC-880E-4136-9EC8-5BF5789318E1}"/>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D84B2132-AC63-422D-8599-05D589A7698F}"/>
    <cellStyle name="Currency 5 3 3 2 2 2 3" xfId="12325" xr:uid="{C9907049-6FA2-4E59-AF87-8E25DE5172F4}"/>
    <cellStyle name="Currency 5 3 3 2 2 3" xfId="5071" xr:uid="{00000000-0005-0000-0000-0000E30C0000}"/>
    <cellStyle name="Currency 5 3 3 2 2 3 2" xfId="14397" xr:uid="{9BEB53B6-11F4-445A-9AED-31FE72D5E401}"/>
    <cellStyle name="Currency 5 3 3 2 2 4" xfId="9514" xr:uid="{9A504F43-6423-4200-B7AF-F17B65B2005C}"/>
    <cellStyle name="Currency 5 3 3 2 2 5" xfId="10180" xr:uid="{3A96B9D7-4A33-42E8-B34E-9AC9EB3D8631}"/>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B84E182B-EC5C-46DF-ACAD-6247CC3EB2E3}"/>
    <cellStyle name="Currency 5 3 3 2 3 2 3" xfId="12738" xr:uid="{B6D89579-B4E4-4805-A8E8-EAA4A9CDA139}"/>
    <cellStyle name="Currency 5 3 3 2 3 3" xfId="5484" xr:uid="{00000000-0005-0000-0000-0000E70C0000}"/>
    <cellStyle name="Currency 5 3 3 2 3 3 2" xfId="14810" xr:uid="{29D3C180-F3C9-4830-8DB7-DB60C5497C4F}"/>
    <cellStyle name="Currency 5 3 3 2 3 4" xfId="10593" xr:uid="{03F349CC-AD1A-4E6D-8BE5-78E74F0E1AC3}"/>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EBC62BEA-4790-4CF8-8B61-D23E3930A22C}"/>
    <cellStyle name="Currency 5 3 3 2 4 2 3" xfId="13151" xr:uid="{92A0740E-5B13-45F0-906D-CE1C47E58968}"/>
    <cellStyle name="Currency 5 3 3 2 4 3" xfId="5897" xr:uid="{00000000-0005-0000-0000-0000EB0C0000}"/>
    <cellStyle name="Currency 5 3 3 2 4 3 2" xfId="15223" xr:uid="{67FC3124-1263-4126-A186-463F868A7E00}"/>
    <cellStyle name="Currency 5 3 3 2 4 4" xfId="11006" xr:uid="{AC3506DF-56D1-4C21-A8A9-E34109DF53EF}"/>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F3056FEA-796A-4BC0-983D-2C1CFBC8CBB2}"/>
    <cellStyle name="Currency 5 3 3 2 5 2 3" xfId="13564" xr:uid="{52A81806-4F62-4FE8-9D96-B1DE8B1D135C}"/>
    <cellStyle name="Currency 5 3 3 2 5 3" xfId="6310" xr:uid="{00000000-0005-0000-0000-0000EF0C0000}"/>
    <cellStyle name="Currency 5 3 3 2 5 3 2" xfId="15636" xr:uid="{3540B652-6FFE-4796-BCFB-158BA7E881F3}"/>
    <cellStyle name="Currency 5 3 3 2 5 4" xfId="11419" xr:uid="{C1F1B0B4-FE08-49C8-8362-C0CBE061BF31}"/>
    <cellStyle name="Currency 5 3 3 2 6" xfId="2439" xr:uid="{00000000-0005-0000-0000-0000F00C0000}"/>
    <cellStyle name="Currency 5 3 3 2 6 2" xfId="6723" xr:uid="{00000000-0005-0000-0000-0000F10C0000}"/>
    <cellStyle name="Currency 5 3 3 2 6 2 2" xfId="16049" xr:uid="{BECB19E6-FB26-47C3-96C2-9279742F1A32}"/>
    <cellStyle name="Currency 5 3 3 2 6 3" xfId="11832" xr:uid="{269D4DAB-212E-4B92-95A0-F48060B7C31F}"/>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F6F0D40A-F0AF-4DA1-9001-8794654CC706}"/>
    <cellStyle name="Currency 5 3 3 2 8 3" xfId="12149" xr:uid="{B5D34F03-5C78-4C85-816B-A49B6F8BE3A6}"/>
    <cellStyle name="Currency 5 3 3 2 9" xfId="4657" xr:uid="{00000000-0005-0000-0000-0000F50C0000}"/>
    <cellStyle name="Currency 5 3 3 2 9 2" xfId="13983" xr:uid="{A13953AF-1A02-46E9-A4FD-E3EBC90ACD14}"/>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5E8DF0A8-ED14-4B1A-B4D6-EE3EE202EA3A}"/>
    <cellStyle name="Currency 5 3 3 3 2 3" xfId="12324" xr:uid="{630FD07B-82B3-4F18-BB51-6A91C71BB267}"/>
    <cellStyle name="Currency 5 3 3 3 3" xfId="5070" xr:uid="{00000000-0005-0000-0000-0000F90C0000}"/>
    <cellStyle name="Currency 5 3 3 3 3 2" xfId="14396" xr:uid="{1C48152C-2736-4B1D-ADD4-DA5A7C813F10}"/>
    <cellStyle name="Currency 5 3 3 3 4" xfId="9307" xr:uid="{3F0512A0-B779-46E4-A963-62E327C6AC5F}"/>
    <cellStyle name="Currency 5 3 3 3 5" xfId="10179" xr:uid="{3F2C28E6-A443-4F6C-B28B-4B090B135E75}"/>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0A517287-84F4-4CAE-9EDF-E88BCE07710A}"/>
    <cellStyle name="Currency 5 3 3 4 2 3" xfId="12737" xr:uid="{79DAC967-996E-413E-BB2B-0D699485FF8A}"/>
    <cellStyle name="Currency 5 3 3 4 3" xfId="5483" xr:uid="{00000000-0005-0000-0000-0000FD0C0000}"/>
    <cellStyle name="Currency 5 3 3 4 3 2" xfId="14809" xr:uid="{07F8C429-23D9-4994-9F70-81E9B676D2DF}"/>
    <cellStyle name="Currency 5 3 3 4 4" xfId="10592" xr:uid="{A87631C7-9E5D-447C-94FE-56B3D00534A1}"/>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0D07B9E0-AFB6-4F8A-87E2-A5EB61996AE1}"/>
    <cellStyle name="Currency 5 3 3 5 2 3" xfId="13150" xr:uid="{6C7B86AB-77BC-4FCB-8543-88AFDF600696}"/>
    <cellStyle name="Currency 5 3 3 5 3" xfId="5896" xr:uid="{00000000-0005-0000-0000-0000010D0000}"/>
    <cellStyle name="Currency 5 3 3 5 3 2" xfId="15222" xr:uid="{114443CC-5E74-4792-AEAF-8BBD59C8C046}"/>
    <cellStyle name="Currency 5 3 3 5 4" xfId="11005" xr:uid="{F3055A22-5C2D-4979-BEBF-6DF6CEC029CF}"/>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242D139E-AB48-4F7D-B7CD-E8B2DA25B415}"/>
    <cellStyle name="Currency 5 3 3 6 2 3" xfId="13563" xr:uid="{9D71CAE1-3838-4980-AB29-2F13D867CABE}"/>
    <cellStyle name="Currency 5 3 3 6 3" xfId="6309" xr:uid="{00000000-0005-0000-0000-0000050D0000}"/>
    <cellStyle name="Currency 5 3 3 6 3 2" xfId="15635" xr:uid="{EACBDF1F-7152-46E3-AA03-7F2E845F4942}"/>
    <cellStyle name="Currency 5 3 3 6 4" xfId="11418" xr:uid="{C46932B2-D5B9-4133-924F-F70199B6C667}"/>
    <cellStyle name="Currency 5 3 3 7" xfId="2438" xr:uid="{00000000-0005-0000-0000-0000060D0000}"/>
    <cellStyle name="Currency 5 3 3 7 2" xfId="6722" xr:uid="{00000000-0005-0000-0000-0000070D0000}"/>
    <cellStyle name="Currency 5 3 3 7 2 2" xfId="16048" xr:uid="{6EC1AF7E-16E2-4AD6-8CFC-7FE02922D534}"/>
    <cellStyle name="Currency 5 3 3 7 3" xfId="11831" xr:uid="{66FC6F2D-0728-47A4-98CB-B688C9E9C8C3}"/>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5E941E95-CC3C-4540-AC66-175332B1DE2F}"/>
    <cellStyle name="Currency 5 3 3 9 3" xfId="12148" xr:uid="{F1572957-71C3-40BD-BF7A-BF4DDABD51AD}"/>
    <cellStyle name="Currency 5 3 4" xfId="216" xr:uid="{00000000-0005-0000-0000-00000B0D0000}"/>
    <cellStyle name="Currency 5 3 4 10" xfId="8986" xr:uid="{4F6CFA4A-F10A-4043-AD92-C0A3F7F06459}"/>
    <cellStyle name="Currency 5 3 4 11" xfId="9767" xr:uid="{F8FDDFCA-6484-4F50-BBB1-33783518A08D}"/>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337969AB-95A0-4EB2-A948-04DEC09FC7F2}"/>
    <cellStyle name="Currency 5 3 4 2 2 3" xfId="12326" xr:uid="{E0EC0D1E-C4CD-4AED-8F89-56D8B654FB8C}"/>
    <cellStyle name="Currency 5 3 4 2 3" xfId="5072" xr:uid="{00000000-0005-0000-0000-00000F0D0000}"/>
    <cellStyle name="Currency 5 3 4 2 3 2" xfId="14398" xr:uid="{BAEE5AAE-17D3-4B9C-938B-040B7F93493A}"/>
    <cellStyle name="Currency 5 3 4 2 4" xfId="9411" xr:uid="{2729DEB6-408B-463E-B468-91D932C31FD7}"/>
    <cellStyle name="Currency 5 3 4 2 5" xfId="10181" xr:uid="{23486F28-0293-4008-B419-6C60F53A7DC7}"/>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271A5505-57D1-4401-BCB7-ED974CAE5043}"/>
    <cellStyle name="Currency 5 3 4 3 2 3" xfId="12739" xr:uid="{60DB4C07-7166-48DC-ADD3-9DF3C1DE3A2B}"/>
    <cellStyle name="Currency 5 3 4 3 3" xfId="5485" xr:uid="{00000000-0005-0000-0000-0000130D0000}"/>
    <cellStyle name="Currency 5 3 4 3 3 2" xfId="14811" xr:uid="{B9C66670-D106-41E1-BE13-4F23E2026EFC}"/>
    <cellStyle name="Currency 5 3 4 3 4" xfId="10594" xr:uid="{89048343-9809-4464-A5D4-D966BF00E791}"/>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B48EE834-6EEF-4FD7-B6A6-2E42F3AC8C3D}"/>
    <cellStyle name="Currency 5 3 4 4 2 3" xfId="13152" xr:uid="{50A5E22B-37E7-4ECA-9672-7657F8D3A946}"/>
    <cellStyle name="Currency 5 3 4 4 3" xfId="5898" xr:uid="{00000000-0005-0000-0000-0000170D0000}"/>
    <cellStyle name="Currency 5 3 4 4 3 2" xfId="15224" xr:uid="{D43C4D99-939A-43E0-AFC2-C4A012689208}"/>
    <cellStyle name="Currency 5 3 4 4 4" xfId="11007" xr:uid="{A014DF3B-D23D-4682-94CF-D814012355C4}"/>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7020CF7C-3695-4DE1-A297-66AB3DF836B2}"/>
    <cellStyle name="Currency 5 3 4 5 2 3" xfId="13565" xr:uid="{0B97A40C-38B8-4138-9FF4-4BAF20F3FA8D}"/>
    <cellStyle name="Currency 5 3 4 5 3" xfId="6311" xr:uid="{00000000-0005-0000-0000-00001B0D0000}"/>
    <cellStyle name="Currency 5 3 4 5 3 2" xfId="15637" xr:uid="{A02CBC89-30E3-4D16-9D66-BCBCBFF0241E}"/>
    <cellStyle name="Currency 5 3 4 5 4" xfId="11420" xr:uid="{32B035CC-9113-486A-8EE0-6DAA516ABCBE}"/>
    <cellStyle name="Currency 5 3 4 6" xfId="2440" xr:uid="{00000000-0005-0000-0000-00001C0D0000}"/>
    <cellStyle name="Currency 5 3 4 6 2" xfId="6724" xr:uid="{00000000-0005-0000-0000-00001D0D0000}"/>
    <cellStyle name="Currency 5 3 4 6 2 2" xfId="16050" xr:uid="{A6AE6067-B653-4653-AA5D-B46A3017A09B}"/>
    <cellStyle name="Currency 5 3 4 6 3" xfId="11833" xr:uid="{41493D14-E45E-4338-98A4-9B13AB33A168}"/>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81E3EB34-45E7-47CB-82D7-8E65998A0C3C}"/>
    <cellStyle name="Currency 5 3 4 8 3" xfId="12150" xr:uid="{DD6B809C-F060-416E-A7E5-483725787ADE}"/>
    <cellStyle name="Currency 5 3 4 9" xfId="4658" xr:uid="{00000000-0005-0000-0000-0000210D0000}"/>
    <cellStyle name="Currency 5 3 4 9 2" xfId="13984" xr:uid="{A9B00875-C02F-4095-BF23-10C16C7DE626}"/>
    <cellStyle name="Currency 5 3 5" xfId="217" xr:uid="{00000000-0005-0000-0000-0000220D0000}"/>
    <cellStyle name="Currency 5 3 5 10" xfId="9203" xr:uid="{6167CBBD-227C-4457-B6B6-18EF5C089771}"/>
    <cellStyle name="Currency 5 3 5 11" xfId="9768" xr:uid="{283A99A6-5ABA-453F-9BE4-9873277543CD}"/>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86D579DC-E224-47EE-872D-1CA93E09DE0C}"/>
    <cellStyle name="Currency 5 3 5 2 2 3" xfId="12327" xr:uid="{3B8BA8E2-E236-44DE-9CE5-E8DE127559D3}"/>
    <cellStyle name="Currency 5 3 5 2 3" xfId="5073" xr:uid="{00000000-0005-0000-0000-0000260D0000}"/>
    <cellStyle name="Currency 5 3 5 2 3 2" xfId="14399" xr:uid="{0AEA2721-B531-4C3F-852C-CB394884843C}"/>
    <cellStyle name="Currency 5 3 5 2 4" xfId="9600" xr:uid="{650A4058-48FE-4F3E-8845-8F52DF332026}"/>
    <cellStyle name="Currency 5 3 5 2 5" xfId="10182" xr:uid="{80A5657D-3CC5-4F05-AE06-5FDADF892385}"/>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E41A6C90-E322-4C99-A4F8-67A28830882B}"/>
    <cellStyle name="Currency 5 3 5 3 2 3" xfId="12740" xr:uid="{C7206F85-4B43-4F1C-ADBF-6ADCD60CDDBF}"/>
    <cellStyle name="Currency 5 3 5 3 3" xfId="5486" xr:uid="{00000000-0005-0000-0000-00002A0D0000}"/>
    <cellStyle name="Currency 5 3 5 3 3 2" xfId="14812" xr:uid="{DFA18D06-8F05-4F46-9096-98D1E4466232}"/>
    <cellStyle name="Currency 5 3 5 3 4" xfId="10595" xr:uid="{E514BEB5-BBCE-4AEC-9AE4-508BEFC764A3}"/>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7EF72759-8B2D-42D5-B5B7-8CA0A4251FB1}"/>
    <cellStyle name="Currency 5 3 5 4 2 3" xfId="13153" xr:uid="{E39B3585-A0C3-48FE-848F-AD17CC600E19}"/>
    <cellStyle name="Currency 5 3 5 4 3" xfId="5899" xr:uid="{00000000-0005-0000-0000-00002E0D0000}"/>
    <cellStyle name="Currency 5 3 5 4 3 2" xfId="15225" xr:uid="{1CBDF56F-8309-42D1-AC6A-37F84B7C106A}"/>
    <cellStyle name="Currency 5 3 5 4 4" xfId="11008" xr:uid="{4DFF1AF0-9056-42AC-9B6B-1622F4F3D8CD}"/>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DC9125FF-09D2-4C35-A5E5-EE8625ABDD89}"/>
    <cellStyle name="Currency 5 3 5 5 2 3" xfId="13566" xr:uid="{287BDECA-384A-4264-9A50-DA6CC2CF2331}"/>
    <cellStyle name="Currency 5 3 5 5 3" xfId="6312" xr:uid="{00000000-0005-0000-0000-0000320D0000}"/>
    <cellStyle name="Currency 5 3 5 5 3 2" xfId="15638" xr:uid="{F8F7EB3C-254B-4157-8116-4AB28D7B1A38}"/>
    <cellStyle name="Currency 5 3 5 5 4" xfId="11421" xr:uid="{2B6ABFEE-461F-4FBC-862D-C7C0E1D2676C}"/>
    <cellStyle name="Currency 5 3 5 6" xfId="2441" xr:uid="{00000000-0005-0000-0000-0000330D0000}"/>
    <cellStyle name="Currency 5 3 5 6 2" xfId="6725" xr:uid="{00000000-0005-0000-0000-0000340D0000}"/>
    <cellStyle name="Currency 5 3 5 6 2 2" xfId="16051" xr:uid="{4DC8A13B-FB7E-4E48-9505-F82560F765AB}"/>
    <cellStyle name="Currency 5 3 5 6 3" xfId="11834" xr:uid="{1EA6ACDB-9B6E-496E-9D02-C4BD2CE34CF7}"/>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6D6B8861-AA64-4F3E-B9AC-794866301F60}"/>
    <cellStyle name="Currency 5 3 5 8 3" xfId="12151" xr:uid="{F5DA1FBD-6475-4717-8DA1-07D6D20B832B}"/>
    <cellStyle name="Currency 5 3 5 9" xfId="4659" xr:uid="{00000000-0005-0000-0000-0000380D0000}"/>
    <cellStyle name="Currency 5 3 5 9 2" xfId="13985" xr:uid="{E2EAE845-5E49-4C76-9232-6616F51005BB}"/>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754260A6-B3B2-4CF8-8C1B-046A67645C45}"/>
    <cellStyle name="Currency 5 5 11" xfId="8850" xr:uid="{8F129173-F323-478F-8B06-1E2599EB26C1}"/>
    <cellStyle name="Currency 5 5 12" xfId="9769" xr:uid="{11665FEF-BA08-4643-9B43-FE0123906D79}"/>
    <cellStyle name="Currency 5 5 2" xfId="220" xr:uid="{00000000-0005-0000-0000-00003D0D0000}"/>
    <cellStyle name="Currency 5 5 2 10" xfId="9057" xr:uid="{90E61E49-0971-4EC1-90D8-E015846E4FB2}"/>
    <cellStyle name="Currency 5 5 2 11" xfId="9770" xr:uid="{D8FE7EDC-17B8-4275-95EF-0DAB55E51E6B}"/>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43C43257-BBE7-4270-8470-823053C38EC2}"/>
    <cellStyle name="Currency 5 5 2 2 2 3" xfId="12329" xr:uid="{6B7D98EE-6DAE-4E4C-8AB1-B66315476B7D}"/>
    <cellStyle name="Currency 5 5 2 2 3" xfId="5075" xr:uid="{00000000-0005-0000-0000-0000410D0000}"/>
    <cellStyle name="Currency 5 5 2 2 3 2" xfId="14401" xr:uid="{8AEA9A4A-AE5E-492B-8EE3-A5787B5E5A8D}"/>
    <cellStyle name="Currency 5 5 2 2 4" xfId="9482" xr:uid="{ECEE3E7C-42CD-4A2D-A90F-D54FFBA7E41F}"/>
    <cellStyle name="Currency 5 5 2 2 5" xfId="10184" xr:uid="{CF109112-8419-47B4-AAE0-1AEDA650E7F3}"/>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E5F869FB-8349-4E6E-B936-7BAE0A856B1D}"/>
    <cellStyle name="Currency 5 5 2 3 2 3" xfId="12742" xr:uid="{6F36AF96-9CE3-42E8-8E22-C8FC5005098F}"/>
    <cellStyle name="Currency 5 5 2 3 3" xfId="5488" xr:uid="{00000000-0005-0000-0000-0000450D0000}"/>
    <cellStyle name="Currency 5 5 2 3 3 2" xfId="14814" xr:uid="{A3675CC3-26FB-4786-BECF-5A99E617A305}"/>
    <cellStyle name="Currency 5 5 2 3 4" xfId="10597" xr:uid="{C049C687-AF88-46F4-A248-E24B16F34272}"/>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85564D5F-1C1A-4EF6-83C6-BDA9E82FF211}"/>
    <cellStyle name="Currency 5 5 2 4 2 3" xfId="13155" xr:uid="{C62D3955-9773-4CD9-AB72-317E0DC2B151}"/>
    <cellStyle name="Currency 5 5 2 4 3" xfId="5901" xr:uid="{00000000-0005-0000-0000-0000490D0000}"/>
    <cellStyle name="Currency 5 5 2 4 3 2" xfId="15227" xr:uid="{4EBC7074-FD6E-4B6E-942C-F8B936B303D6}"/>
    <cellStyle name="Currency 5 5 2 4 4" xfId="11010" xr:uid="{42C782F4-BA53-49FD-84B4-3F9F306FC736}"/>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2F336871-7939-4A7E-9A5E-75F369FDCE92}"/>
    <cellStyle name="Currency 5 5 2 5 2 3" xfId="13568" xr:uid="{65A0B0CA-C5AA-4914-9FE3-C3FEB71396DE}"/>
    <cellStyle name="Currency 5 5 2 5 3" xfId="6314" xr:uid="{00000000-0005-0000-0000-00004D0D0000}"/>
    <cellStyle name="Currency 5 5 2 5 3 2" xfId="15640" xr:uid="{5C2825B1-2211-4571-9796-2E59B8091245}"/>
    <cellStyle name="Currency 5 5 2 5 4" xfId="11423" xr:uid="{E2437A19-91E1-41B0-A158-C3A14BDB629B}"/>
    <cellStyle name="Currency 5 5 2 6" xfId="2443" xr:uid="{00000000-0005-0000-0000-00004E0D0000}"/>
    <cellStyle name="Currency 5 5 2 6 2" xfId="6727" xr:uid="{00000000-0005-0000-0000-00004F0D0000}"/>
    <cellStyle name="Currency 5 5 2 6 2 2" xfId="16053" xr:uid="{E035CEDF-99A4-4123-B8C0-6DC3AEC4E239}"/>
    <cellStyle name="Currency 5 5 2 6 3" xfId="11836" xr:uid="{9C2590E9-8AED-4059-8457-9CB5EE5AA0CA}"/>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29FD6EBC-1D77-42AB-A173-7D95752DAFC7}"/>
    <cellStyle name="Currency 5 5 2 8 3" xfId="12153" xr:uid="{EB43BA6D-4254-4586-BD5F-67417C06F2C4}"/>
    <cellStyle name="Currency 5 5 2 9" xfId="4661" xr:uid="{00000000-0005-0000-0000-0000530D0000}"/>
    <cellStyle name="Currency 5 5 2 9 2" xfId="13987" xr:uid="{1CA4D220-12FB-4AC5-9528-2A2E10C4A904}"/>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EF4752FE-E8BF-480A-84EE-DEF7A73FA0F3}"/>
    <cellStyle name="Currency 5 5 3 2 3" xfId="12328" xr:uid="{1D151ACA-7B54-4DC6-85E7-447E8B9E848D}"/>
    <cellStyle name="Currency 5 5 3 3" xfId="5074" xr:uid="{00000000-0005-0000-0000-0000570D0000}"/>
    <cellStyle name="Currency 5 5 3 3 2" xfId="14400" xr:uid="{05F37BD4-2957-4D5D-8C1E-C3E73FF040EB}"/>
    <cellStyle name="Currency 5 5 3 4" xfId="9275" xr:uid="{54783F20-34E5-4A58-80AE-EC7CC69A89C9}"/>
    <cellStyle name="Currency 5 5 3 5" xfId="10183" xr:uid="{5D8F78A8-CEED-414C-9015-C911BB9791BD}"/>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C518AEC7-60E7-4F0A-BC69-B07F9AF1D54D}"/>
    <cellStyle name="Currency 5 5 4 2 3" xfId="12741" xr:uid="{1BB8F4FE-8570-4D5C-8113-F2C338F67DC2}"/>
    <cellStyle name="Currency 5 5 4 3" xfId="5487" xr:uid="{00000000-0005-0000-0000-00005B0D0000}"/>
    <cellStyle name="Currency 5 5 4 3 2" xfId="14813" xr:uid="{CDA91D4C-BCD9-46D6-BECE-76A8ED20B10D}"/>
    <cellStyle name="Currency 5 5 4 4" xfId="10596" xr:uid="{4E676BBE-520A-4683-88DD-FACE9D387AA4}"/>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A06A03B8-2E25-49CA-8726-5FA03BF3174C}"/>
    <cellStyle name="Currency 5 5 5 2 3" xfId="13154" xr:uid="{CED37DAF-526D-4CE9-BF53-180F7EB84122}"/>
    <cellStyle name="Currency 5 5 5 3" xfId="5900" xr:uid="{00000000-0005-0000-0000-00005F0D0000}"/>
    <cellStyle name="Currency 5 5 5 3 2" xfId="15226" xr:uid="{243FE759-7489-4CAE-96C6-245B2C0DF1CE}"/>
    <cellStyle name="Currency 5 5 5 4" xfId="11009" xr:uid="{4C0C9376-D8F4-4646-9DDC-7A1B4865C6FC}"/>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7E50DFB2-2C6D-45CD-861C-ACAAD036B10D}"/>
    <cellStyle name="Currency 5 5 6 2 3" xfId="13567" xr:uid="{58854432-2FB2-456C-8330-534BE8730A13}"/>
    <cellStyle name="Currency 5 5 6 3" xfId="6313" xr:uid="{00000000-0005-0000-0000-0000630D0000}"/>
    <cellStyle name="Currency 5 5 6 3 2" xfId="15639" xr:uid="{088844AF-90DF-4259-AFEB-3CF2E14469A2}"/>
    <cellStyle name="Currency 5 5 6 4" xfId="11422" xr:uid="{C28E9193-8D93-46B0-9834-4D33E31BADE0}"/>
    <cellStyle name="Currency 5 5 7" xfId="2442" xr:uid="{00000000-0005-0000-0000-0000640D0000}"/>
    <cellStyle name="Currency 5 5 7 2" xfId="6726" xr:uid="{00000000-0005-0000-0000-0000650D0000}"/>
    <cellStyle name="Currency 5 5 7 2 2" xfId="16052" xr:uid="{E841975E-1B47-49BD-9A4B-AB4AD6A6EE85}"/>
    <cellStyle name="Currency 5 5 7 3" xfId="11835" xr:uid="{6719AD79-3163-48D2-AB5F-CE533BEAEEA4}"/>
    <cellStyle name="Currency 5 5 8" xfId="2739" xr:uid="{00000000-0005-0000-0000-0000660D0000}"/>
    <cellStyle name="Currency 5 5 9" xfId="2820" xr:uid="{00000000-0005-0000-0000-0000670D0000}"/>
    <cellStyle name="Currency 5 5 9 2" xfId="7043" xr:uid="{00000000-0005-0000-0000-0000680D0000}"/>
    <cellStyle name="Currency 5 5 9 2 2" xfId="16369" xr:uid="{CCB73FE1-5632-46EA-89BC-446C90868E7C}"/>
    <cellStyle name="Currency 5 5 9 3" xfId="12152" xr:uid="{5B8BAAED-1610-4096-A2CB-BF79B7CFDA16}"/>
    <cellStyle name="Currency 5 6" xfId="221" xr:uid="{00000000-0005-0000-0000-0000690D0000}"/>
    <cellStyle name="Currency 5 6 10" xfId="8966" xr:uid="{EC95BD1E-EAA8-4043-BDA7-06F3BBDBC3D5}"/>
    <cellStyle name="Currency 5 6 11" xfId="9771" xr:uid="{41DDF6A3-79C4-4852-B07E-45F4D18E26E8}"/>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AE565E02-6D9F-408C-A395-8F9D050E6257}"/>
    <cellStyle name="Currency 5 6 2 2 3" xfId="12330" xr:uid="{E890F5C4-08D8-401B-8F49-075D3DBD9257}"/>
    <cellStyle name="Currency 5 6 2 3" xfId="5076" xr:uid="{00000000-0005-0000-0000-00006D0D0000}"/>
    <cellStyle name="Currency 5 6 2 3 2" xfId="14402" xr:uid="{77E77219-C72E-4AED-8A3B-0C1D6405E107}"/>
    <cellStyle name="Currency 5 6 2 4" xfId="9391" xr:uid="{8CBF3F74-51EC-4402-B96A-0759E6537FC7}"/>
    <cellStyle name="Currency 5 6 2 5" xfId="10185" xr:uid="{651F1A6A-29A8-48FA-98E0-AB10CFBA13EF}"/>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5F237026-C62A-4C13-A711-C2D9A899BA5E}"/>
    <cellStyle name="Currency 5 6 3 2 3" xfId="12743" xr:uid="{D3492D68-12DF-4A84-847C-1AAB79C6950C}"/>
    <cellStyle name="Currency 5 6 3 3" xfId="5489" xr:uid="{00000000-0005-0000-0000-0000710D0000}"/>
    <cellStyle name="Currency 5 6 3 3 2" xfId="14815" xr:uid="{B9C106C8-28C5-4566-812E-04ADFFE3F5C7}"/>
    <cellStyle name="Currency 5 6 3 4" xfId="10598" xr:uid="{A79F6085-E773-4BF6-A2DE-5F2A5CC93904}"/>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282F2FB4-A943-45F9-BD11-161072DB7551}"/>
    <cellStyle name="Currency 5 6 4 2 3" xfId="13156" xr:uid="{AC53194C-772F-463C-9398-1413781E0866}"/>
    <cellStyle name="Currency 5 6 4 3" xfId="5902" xr:uid="{00000000-0005-0000-0000-0000750D0000}"/>
    <cellStyle name="Currency 5 6 4 3 2" xfId="15228" xr:uid="{406C84BB-A962-45EF-8075-BD3869C27E7D}"/>
    <cellStyle name="Currency 5 6 4 4" xfId="11011" xr:uid="{3224ECE2-3CBF-479D-A677-4DEAC8BB93C8}"/>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56FF93D0-1CBC-4FD8-8A19-FC5CFD0B3173}"/>
    <cellStyle name="Currency 5 6 5 2 3" xfId="13569" xr:uid="{992C49C3-D2FA-4521-B24A-C8BEB430437A}"/>
    <cellStyle name="Currency 5 6 5 3" xfId="6315" xr:uid="{00000000-0005-0000-0000-0000790D0000}"/>
    <cellStyle name="Currency 5 6 5 3 2" xfId="15641" xr:uid="{CFBCE9CB-5168-4C81-8EB3-5A0CDAC2BBAD}"/>
    <cellStyle name="Currency 5 6 5 4" xfId="11424" xr:uid="{2C8E08AC-9D54-4C9F-9DF5-6335BF338C75}"/>
    <cellStyle name="Currency 5 6 6" xfId="2444" xr:uid="{00000000-0005-0000-0000-00007A0D0000}"/>
    <cellStyle name="Currency 5 6 6 2" xfId="6728" xr:uid="{00000000-0005-0000-0000-00007B0D0000}"/>
    <cellStyle name="Currency 5 6 6 2 2" xfId="16054" xr:uid="{CB93913E-BDD0-4BDB-BB1F-E5D79E16C0DB}"/>
    <cellStyle name="Currency 5 6 6 3" xfId="11837" xr:uid="{0180DB15-DCA8-4EFF-B40C-F9A819F4E2CD}"/>
    <cellStyle name="Currency 5 6 7" xfId="2741" xr:uid="{00000000-0005-0000-0000-00007C0D0000}"/>
    <cellStyle name="Currency 5 6 8" xfId="2822" xr:uid="{00000000-0005-0000-0000-00007D0D0000}"/>
    <cellStyle name="Currency 5 6 8 2" xfId="7045" xr:uid="{00000000-0005-0000-0000-00007E0D0000}"/>
    <cellStyle name="Currency 5 6 8 2 2" xfId="16371" xr:uid="{3B0E0D10-C69C-45C0-8611-5797C497B52F}"/>
    <cellStyle name="Currency 5 6 8 3" xfId="12154" xr:uid="{088F9430-3851-49BA-BD14-B10C6C80B611}"/>
    <cellStyle name="Currency 5 6 9" xfId="4662" xr:uid="{00000000-0005-0000-0000-00007F0D0000}"/>
    <cellStyle name="Currency 5 6 9 2" xfId="13988" xr:uid="{F1DDAF91-E7C4-432A-A156-6581EB95B02D}"/>
    <cellStyle name="Currency 5 7" xfId="222" xr:uid="{00000000-0005-0000-0000-0000800D0000}"/>
    <cellStyle name="Currency 5 7 10" xfId="9169" xr:uid="{7A886DE7-136A-429E-90E2-A7C712D111D8}"/>
    <cellStyle name="Currency 5 7 11" xfId="9772" xr:uid="{B714454C-FC62-400D-AE93-8924A343E820}"/>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90E38B6D-1321-4B3F-BD42-2A61D3F50A49}"/>
    <cellStyle name="Currency 5 7 2 2 3" xfId="12331" xr:uid="{0F596AC0-3D60-4E28-90E0-6283CCA4CC7F}"/>
    <cellStyle name="Currency 5 7 2 3" xfId="5077" xr:uid="{00000000-0005-0000-0000-0000840D0000}"/>
    <cellStyle name="Currency 5 7 2 3 2" xfId="14403" xr:uid="{9970B29B-31B2-4DE2-B143-718A6149C0B8}"/>
    <cellStyle name="Currency 5 7 2 4" xfId="9601" xr:uid="{DC93A830-0AF1-4EC4-B764-C728922F3FEF}"/>
    <cellStyle name="Currency 5 7 2 5" xfId="10186" xr:uid="{9EBE4D7B-E99D-401A-88F6-66B2B0057823}"/>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D7CE8AC4-C7D4-4754-B0E0-18AC84B9B388}"/>
    <cellStyle name="Currency 5 7 3 2 3" xfId="12744" xr:uid="{62355230-4A2F-4280-8DE6-6E955A78AD38}"/>
    <cellStyle name="Currency 5 7 3 3" xfId="5490" xr:uid="{00000000-0005-0000-0000-0000880D0000}"/>
    <cellStyle name="Currency 5 7 3 3 2" xfId="14816" xr:uid="{EFE07768-0C21-4B25-A319-1AD40EEDE11D}"/>
    <cellStyle name="Currency 5 7 3 4" xfId="10599" xr:uid="{6E1420B7-BB48-46AB-BE3C-682CC19A9C46}"/>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9CE2C5E9-ED61-4970-94D3-9452005F9EB8}"/>
    <cellStyle name="Currency 5 7 4 2 3" xfId="13157" xr:uid="{E6FBB327-AF1E-4CEA-9AA6-979FB5897420}"/>
    <cellStyle name="Currency 5 7 4 3" xfId="5903" xr:uid="{00000000-0005-0000-0000-00008C0D0000}"/>
    <cellStyle name="Currency 5 7 4 3 2" xfId="15229" xr:uid="{C626E2E2-8677-4FD9-91DF-753D529EE274}"/>
    <cellStyle name="Currency 5 7 4 4" xfId="11012" xr:uid="{20A143F8-A498-4381-AAE1-5AC3350320C9}"/>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788F0D44-CA29-477A-9C80-B971E0DCD5BC}"/>
    <cellStyle name="Currency 5 7 5 2 3" xfId="13570" xr:uid="{B00E4BF7-187C-4DCD-8E6A-FCBE3188821C}"/>
    <cellStyle name="Currency 5 7 5 3" xfId="6316" xr:uid="{00000000-0005-0000-0000-0000900D0000}"/>
    <cellStyle name="Currency 5 7 5 3 2" xfId="15642" xr:uid="{2D8EF46E-9D53-4E50-9CA7-E7F4615F8843}"/>
    <cellStyle name="Currency 5 7 5 4" xfId="11425" xr:uid="{4F6E24D2-6544-4D3E-952D-7839F0861054}"/>
    <cellStyle name="Currency 5 7 6" xfId="2445" xr:uid="{00000000-0005-0000-0000-0000910D0000}"/>
    <cellStyle name="Currency 5 7 6 2" xfId="6729" xr:uid="{00000000-0005-0000-0000-0000920D0000}"/>
    <cellStyle name="Currency 5 7 6 2 2" xfId="16055" xr:uid="{1854520E-66F2-4586-A754-6AB4C935464B}"/>
    <cellStyle name="Currency 5 7 6 3" xfId="11838" xr:uid="{F8BB4FD3-63FF-4117-934D-7285C5EEBE2A}"/>
    <cellStyle name="Currency 5 7 7" xfId="2742" xr:uid="{00000000-0005-0000-0000-0000930D0000}"/>
    <cellStyle name="Currency 5 7 8" xfId="2823" xr:uid="{00000000-0005-0000-0000-0000940D0000}"/>
    <cellStyle name="Currency 5 7 8 2" xfId="7046" xr:uid="{00000000-0005-0000-0000-0000950D0000}"/>
    <cellStyle name="Currency 5 7 8 2 2" xfId="16372" xr:uid="{BEA3BD29-8504-428E-B3E6-3901F35E97CC}"/>
    <cellStyle name="Currency 5 7 8 3" xfId="12155" xr:uid="{F2E63F2D-D7DC-4C0B-962A-C16F67EE67BC}"/>
    <cellStyle name="Currency 5 7 9" xfId="4663" xr:uid="{00000000-0005-0000-0000-0000960D0000}"/>
    <cellStyle name="Currency 5 7 9 2" xfId="13989" xr:uid="{4BAF0FE5-9EEB-4DC4-A125-3596338EFF13}"/>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06578A4B-A2F1-46D5-887D-72611D26C88A}"/>
    <cellStyle name="Normal 12 10 3" xfId="11839" xr:uid="{1893308A-74DF-4AAC-B3F3-423A72B38F93}"/>
    <cellStyle name="Normal 12 11" xfId="4664" xr:uid="{00000000-0005-0000-0000-0000CC0D0000}"/>
    <cellStyle name="Normal 12 11 2" xfId="13990" xr:uid="{99C77F18-0EBA-4F61-9A47-5F87D1863C7C}"/>
    <cellStyle name="Normal 12 12" xfId="8770" xr:uid="{16E7F001-A88D-4413-825E-78352A31064A}"/>
    <cellStyle name="Normal 12 13" xfId="9773" xr:uid="{F2EAAFEC-3739-4F08-82DF-0BE9FE4A33F2}"/>
    <cellStyle name="Normal 12 2" xfId="260" xr:uid="{00000000-0005-0000-0000-0000CD0D0000}"/>
    <cellStyle name="Normal 12 2 10" xfId="8811" xr:uid="{C610EFA7-DF28-475D-A7AA-61B6675A083B}"/>
    <cellStyle name="Normal 12 2 11" xfId="9774" xr:uid="{05DF8594-FF71-4B39-8872-64178E177D58}"/>
    <cellStyle name="Normal 12 2 2" xfId="261" xr:uid="{00000000-0005-0000-0000-0000CE0D0000}"/>
    <cellStyle name="Normal 12 2 2 10" xfId="9775" xr:uid="{33ED88D9-BD0C-4891-AC3E-9544F727E7F2}"/>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873C0504-34EA-463A-B0C8-2DA281345721}"/>
    <cellStyle name="Normal 12 2 2 2 2 2 3" xfId="12335" xr:uid="{D3CE2637-7247-42E5-9339-8DF88918E29A}"/>
    <cellStyle name="Normal 12 2 2 2 2 3" xfId="5081" xr:uid="{00000000-0005-0000-0000-0000D30D0000}"/>
    <cellStyle name="Normal 12 2 2 2 2 3 2" xfId="14407" xr:uid="{00A5779E-1EE8-4120-9091-E983B7120F48}"/>
    <cellStyle name="Normal 12 2 2 2 2 4" xfId="9546" xr:uid="{609DE280-4DA3-4355-9F1C-9E01708347EA}"/>
    <cellStyle name="Normal 12 2 2 2 2 5" xfId="10190" xr:uid="{4FBBF976-3816-4C84-9DFF-5964B5CDCE62}"/>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F4E42C59-348A-4B14-8485-3A7B6A9C0CD3}"/>
    <cellStyle name="Normal 12 2 2 2 3 2 3" xfId="12748" xr:uid="{E68C5F92-D348-4A49-95D2-D202731A62F7}"/>
    <cellStyle name="Normal 12 2 2 2 3 3" xfId="5494" xr:uid="{00000000-0005-0000-0000-0000D70D0000}"/>
    <cellStyle name="Normal 12 2 2 2 3 3 2" xfId="14820" xr:uid="{E9B31202-0B7F-4F8A-A1DE-243B95C96616}"/>
    <cellStyle name="Normal 12 2 2 2 3 4" xfId="10603" xr:uid="{8E1318BB-E0FE-46F5-A385-D3CBCDFC0432}"/>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A5C1A198-DEB8-4D8A-A847-0F8B7656614D}"/>
    <cellStyle name="Normal 12 2 2 2 4 2 3" xfId="13161" xr:uid="{7C02A6DE-18E7-4840-B588-67DC24B34977}"/>
    <cellStyle name="Normal 12 2 2 2 4 3" xfId="5907" xr:uid="{00000000-0005-0000-0000-0000DB0D0000}"/>
    <cellStyle name="Normal 12 2 2 2 4 3 2" xfId="15233" xr:uid="{A0617493-8DC7-44FA-804F-D152D0BFF2BD}"/>
    <cellStyle name="Normal 12 2 2 2 4 4" xfId="11016" xr:uid="{701EF58F-2A7C-4544-8F38-6FE4D04736DD}"/>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BB47578F-AB44-4E03-8A65-FF2CC2A67512}"/>
    <cellStyle name="Normal 12 2 2 2 5 2 3" xfId="13574" xr:uid="{46528705-1EC9-43C9-810A-046A0C7CA249}"/>
    <cellStyle name="Normal 12 2 2 2 5 3" xfId="6320" xr:uid="{00000000-0005-0000-0000-0000DF0D0000}"/>
    <cellStyle name="Normal 12 2 2 2 5 3 2" xfId="15646" xr:uid="{248E6EFD-B4DB-4193-B6AB-14B7803643EF}"/>
    <cellStyle name="Normal 12 2 2 2 5 4" xfId="11429" xr:uid="{11B49F58-407F-4B1E-9639-3B65EC250CEB}"/>
    <cellStyle name="Normal 12 2 2 2 6" xfId="2450" xr:uid="{00000000-0005-0000-0000-0000E00D0000}"/>
    <cellStyle name="Normal 12 2 2 2 6 2" xfId="6733" xr:uid="{00000000-0005-0000-0000-0000E10D0000}"/>
    <cellStyle name="Normal 12 2 2 2 6 2 2" xfId="16059" xr:uid="{16149AB0-A209-4A82-83C6-4E5F9697E24E}"/>
    <cellStyle name="Normal 12 2 2 2 6 3" xfId="11842" xr:uid="{6DBCD332-CBC9-4C0A-AC00-18618EB2C154}"/>
    <cellStyle name="Normal 12 2 2 2 7" xfId="4667" xr:uid="{00000000-0005-0000-0000-0000E20D0000}"/>
    <cellStyle name="Normal 12 2 2 2 7 2" xfId="13993" xr:uid="{D65F5C47-58A1-4EA7-B07F-D3B8B7E1B62C}"/>
    <cellStyle name="Normal 12 2 2 2 8" xfId="9121" xr:uid="{527C15BB-BE4D-46AB-9317-CC8E6838C91D}"/>
    <cellStyle name="Normal 12 2 2 2 9" xfId="9776" xr:uid="{66025E0F-A122-4AD0-A418-0B94E00D9B1D}"/>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40B0AFE5-DF43-47DF-BD70-DBC906AE3185}"/>
    <cellStyle name="Normal 12 2 2 3 2 3" xfId="12334" xr:uid="{506B551A-062E-47EF-969C-4DB1CBC74F3E}"/>
    <cellStyle name="Normal 12 2 2 3 3" xfId="5080" xr:uid="{00000000-0005-0000-0000-0000E60D0000}"/>
    <cellStyle name="Normal 12 2 2 3 3 2" xfId="14406" xr:uid="{489B1B18-0AE8-4793-AF86-99E7E0A7C9FF}"/>
    <cellStyle name="Normal 12 2 2 3 4" xfId="9339" xr:uid="{F3F800C1-92DF-4F1F-A561-C3F3C7F8BAD1}"/>
    <cellStyle name="Normal 12 2 2 3 5" xfId="10189" xr:uid="{63AA5D96-58DA-43CB-A0C9-62AA69F438F4}"/>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6BA6770C-16DD-4051-B7D0-C8C9C1968D93}"/>
    <cellStyle name="Normal 12 2 2 4 2 3" xfId="12747" xr:uid="{7378613A-CC7F-455D-AB7E-366FB46DA48C}"/>
    <cellStyle name="Normal 12 2 2 4 3" xfId="5493" xr:uid="{00000000-0005-0000-0000-0000EA0D0000}"/>
    <cellStyle name="Normal 12 2 2 4 3 2" xfId="14819" xr:uid="{3F7C2751-4280-431F-901E-7CA750D5008F}"/>
    <cellStyle name="Normal 12 2 2 4 4" xfId="10602" xr:uid="{88054B2B-88B6-4628-9DC1-06A05E082062}"/>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C0027BAE-326C-43CF-B9CB-62903906BE50}"/>
    <cellStyle name="Normal 12 2 2 5 2 3" xfId="13160" xr:uid="{8E7D78DE-33A2-42C0-85A3-B2AF226B8C0D}"/>
    <cellStyle name="Normal 12 2 2 5 3" xfId="5906" xr:uid="{00000000-0005-0000-0000-0000EE0D0000}"/>
    <cellStyle name="Normal 12 2 2 5 3 2" xfId="15232" xr:uid="{AA62CA0A-8345-4EE2-9C18-FEAEECB0CFC8}"/>
    <cellStyle name="Normal 12 2 2 5 4" xfId="11015" xr:uid="{58B62142-EF5E-47A7-89EE-43BB69ACF57E}"/>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E3D22887-C8F5-4314-8A81-6D0AFF0493ED}"/>
    <cellStyle name="Normal 12 2 2 6 2 3" xfId="13573" xr:uid="{CE9DB6E9-C0BF-4DE3-9A52-F46A8A32C68C}"/>
    <cellStyle name="Normal 12 2 2 6 3" xfId="6319" xr:uid="{00000000-0005-0000-0000-0000F20D0000}"/>
    <cellStyle name="Normal 12 2 2 6 3 2" xfId="15645" xr:uid="{DAD9123F-DAF7-4A9B-8D99-85CD2494701C}"/>
    <cellStyle name="Normal 12 2 2 6 4" xfId="11428" xr:uid="{FC49018B-F5E8-46F8-966C-95E3997CFFDF}"/>
    <cellStyle name="Normal 12 2 2 7" xfId="2449" xr:uid="{00000000-0005-0000-0000-0000F30D0000}"/>
    <cellStyle name="Normal 12 2 2 7 2" xfId="6732" xr:uid="{00000000-0005-0000-0000-0000F40D0000}"/>
    <cellStyle name="Normal 12 2 2 7 2 2" xfId="16058" xr:uid="{D8955BDA-C680-44CD-B8D8-0C55E81EC768}"/>
    <cellStyle name="Normal 12 2 2 7 3" xfId="11841" xr:uid="{A9F1FFA1-DA22-43AC-9969-3B6C3A81E38D}"/>
    <cellStyle name="Normal 12 2 2 8" xfId="4666" xr:uid="{00000000-0005-0000-0000-0000F50D0000}"/>
    <cellStyle name="Normal 12 2 2 8 2" xfId="13992" xr:uid="{EBF95AC1-11D4-468C-8F69-6B7A508BB742}"/>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D6F572A7-2441-4F5B-A0EE-5DAAA8E6FE32}"/>
    <cellStyle name="Normal 12 2 3 2 2 3" xfId="12336" xr:uid="{112EAD2A-BD27-4E18-8AB2-E5DE43A4D532}"/>
    <cellStyle name="Normal 12 2 3 2 3" xfId="5082" xr:uid="{00000000-0005-0000-0000-0000FA0D0000}"/>
    <cellStyle name="Normal 12 2 3 2 3 2" xfId="14408" xr:uid="{D251EBCF-07CD-4110-A088-D5A9260024CD}"/>
    <cellStyle name="Normal 12 2 3 2 4" xfId="9443" xr:uid="{61F0A971-1285-4215-8170-49D07520551A}"/>
    <cellStyle name="Normal 12 2 3 2 5" xfId="10191" xr:uid="{BE563DE1-FBFE-4944-B2E2-C29553B22665}"/>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5B3A339E-81BE-4583-8281-CE3A6C453AAF}"/>
    <cellStyle name="Normal 12 2 3 3 2 3" xfId="12749" xr:uid="{94394055-455C-4A60-BC38-E6B810BF3A55}"/>
    <cellStyle name="Normal 12 2 3 3 3" xfId="5495" xr:uid="{00000000-0005-0000-0000-0000FE0D0000}"/>
    <cellStyle name="Normal 12 2 3 3 3 2" xfId="14821" xr:uid="{9ABD0A52-A933-4E42-907E-F8E02D86CEDD}"/>
    <cellStyle name="Normal 12 2 3 3 4" xfId="10604" xr:uid="{C5EA454A-318B-46A3-8F6E-42B3C85C927E}"/>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98CA0421-381A-4E9F-8A5C-3582A3F2AF9A}"/>
    <cellStyle name="Normal 12 2 3 4 2 3" xfId="13162" xr:uid="{7FF1BA7B-684F-4E57-A342-0CE66AEE98FB}"/>
    <cellStyle name="Normal 12 2 3 4 3" xfId="5908" xr:uid="{00000000-0005-0000-0000-0000020E0000}"/>
    <cellStyle name="Normal 12 2 3 4 3 2" xfId="15234" xr:uid="{54EDB4F4-235D-4EDD-96B3-BED3EC802A4F}"/>
    <cellStyle name="Normal 12 2 3 4 4" xfId="11017" xr:uid="{0BBD4619-BE70-4EB6-A43E-D71E529C7136}"/>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2203039D-10ED-456B-BD07-7CAF355D8ADA}"/>
    <cellStyle name="Normal 12 2 3 5 2 3" xfId="13575" xr:uid="{4FB6B8F4-C6CB-4D87-9915-A709B2270250}"/>
    <cellStyle name="Normal 12 2 3 5 3" xfId="6321" xr:uid="{00000000-0005-0000-0000-0000060E0000}"/>
    <cellStyle name="Normal 12 2 3 5 3 2" xfId="15647" xr:uid="{75773849-B1EC-40E3-9506-4BE8B545D3AA}"/>
    <cellStyle name="Normal 12 2 3 5 4" xfId="11430" xr:uid="{6EC580C3-E4FA-45FC-996E-10EBE3CD6F17}"/>
    <cellStyle name="Normal 12 2 3 6" xfId="2451" xr:uid="{00000000-0005-0000-0000-0000070E0000}"/>
    <cellStyle name="Normal 12 2 3 6 2" xfId="6734" xr:uid="{00000000-0005-0000-0000-0000080E0000}"/>
    <cellStyle name="Normal 12 2 3 6 2 2" xfId="16060" xr:uid="{5590EEE1-76B4-401B-9E50-FDD748622DE7}"/>
    <cellStyle name="Normal 12 2 3 6 3" xfId="11843" xr:uid="{72808350-AA9C-4B97-88D3-B3028FC6A685}"/>
    <cellStyle name="Normal 12 2 3 7" xfId="4668" xr:uid="{00000000-0005-0000-0000-0000090E0000}"/>
    <cellStyle name="Normal 12 2 3 7 2" xfId="13994" xr:uid="{AE48B6D1-4D44-41E4-896F-45786BE5F940}"/>
    <cellStyle name="Normal 12 2 3 8" xfId="9018" xr:uid="{C3F41DC6-3A80-4145-A68D-169ABB54B6D0}"/>
    <cellStyle name="Normal 12 2 3 9" xfId="9777" xr:uid="{4C186E53-C0AB-4879-9093-DB07484DABB1}"/>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F369AC40-0F51-4F0D-BC34-C6EADD6992FC}"/>
    <cellStyle name="Normal 12 2 4 2 3" xfId="12333" xr:uid="{D98A65C7-9CA7-46B4-8A35-292E097C2A04}"/>
    <cellStyle name="Normal 12 2 4 3" xfId="5079" xr:uid="{00000000-0005-0000-0000-00000D0E0000}"/>
    <cellStyle name="Normal 12 2 4 3 2" xfId="14405" xr:uid="{43C20567-041D-48DC-875E-1540345028A0}"/>
    <cellStyle name="Normal 12 2 4 4" xfId="9236" xr:uid="{C3D0196D-4BB3-4870-9762-A3CF40E5B45B}"/>
    <cellStyle name="Normal 12 2 4 5" xfId="10188" xr:uid="{DA36FB89-7447-4F12-BEA0-B7E6ED139754}"/>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A01B72AA-ECB0-46E8-BCB5-94D12B5C241A}"/>
    <cellStyle name="Normal 12 2 5 2 3" xfId="12746" xr:uid="{26765720-6E1F-4ED3-8463-87FEB8C7DFAB}"/>
    <cellStyle name="Normal 12 2 5 3" xfId="5492" xr:uid="{00000000-0005-0000-0000-0000110E0000}"/>
    <cellStyle name="Normal 12 2 5 3 2" xfId="14818" xr:uid="{BF3F85F9-2D73-4F78-B195-9CB422C5A91F}"/>
    <cellStyle name="Normal 12 2 5 4" xfId="10601" xr:uid="{B7BF136F-41CF-4B3A-A657-2A06BE3C6BDB}"/>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91461B5B-F99E-4433-A4CA-A50A5A121D1C}"/>
    <cellStyle name="Normal 12 2 6 2 3" xfId="13159" xr:uid="{ABCBEB06-FD3C-4380-A523-BC7DE4D94E43}"/>
    <cellStyle name="Normal 12 2 6 3" xfId="5905" xr:uid="{00000000-0005-0000-0000-0000150E0000}"/>
    <cellStyle name="Normal 12 2 6 3 2" xfId="15231" xr:uid="{3543397F-82B3-4543-BD63-1FCB0A603104}"/>
    <cellStyle name="Normal 12 2 6 4" xfId="11014" xr:uid="{D57C8EBF-EA3F-4A14-8EB3-CC22D4826DA6}"/>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F66B47BF-AE9B-4327-8E44-202087C3EA98}"/>
    <cellStyle name="Normal 12 2 7 2 3" xfId="13572" xr:uid="{0F94FD20-AA79-4CDB-A6BB-4A72E4D56379}"/>
    <cellStyle name="Normal 12 2 7 3" xfId="6318" xr:uid="{00000000-0005-0000-0000-0000190E0000}"/>
    <cellStyle name="Normal 12 2 7 3 2" xfId="15644" xr:uid="{AEC86574-74F4-406F-9EBE-5A095CE881E5}"/>
    <cellStyle name="Normal 12 2 7 4" xfId="11427" xr:uid="{D90A4ED4-B51D-402E-9BCF-E4FF7E354606}"/>
    <cellStyle name="Normal 12 2 8" xfId="2448" xr:uid="{00000000-0005-0000-0000-00001A0E0000}"/>
    <cellStyle name="Normal 12 2 8 2" xfId="6731" xr:uid="{00000000-0005-0000-0000-00001B0E0000}"/>
    <cellStyle name="Normal 12 2 8 2 2" xfId="16057" xr:uid="{B4704375-F63A-4188-9E9B-396F6803A922}"/>
    <cellStyle name="Normal 12 2 8 3" xfId="11840" xr:uid="{A8DB61B0-F14C-4FF3-965A-93156C1C19AB}"/>
    <cellStyle name="Normal 12 2 9" xfId="4665" xr:uid="{00000000-0005-0000-0000-00001C0E0000}"/>
    <cellStyle name="Normal 12 2 9 2" xfId="13991" xr:uid="{86583D4A-5B33-4BB2-B67B-1465D998C14D}"/>
    <cellStyle name="Normal 12 3" xfId="264" xr:uid="{00000000-0005-0000-0000-00001D0E0000}"/>
    <cellStyle name="Normal 12 3 10" xfId="9778" xr:uid="{803B0571-4497-41B3-9AC9-458533B59B39}"/>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870F1783-7C58-47E9-9A6E-8E524F779B0D}"/>
    <cellStyle name="Normal 12 3 2 2 2 3" xfId="12338" xr:uid="{A4B14083-F7AD-44F9-9021-ACD38A9F30C7}"/>
    <cellStyle name="Normal 12 3 2 2 3" xfId="5084" xr:uid="{00000000-0005-0000-0000-0000220E0000}"/>
    <cellStyle name="Normal 12 3 2 2 3 2" xfId="14410" xr:uid="{7629C3EA-0512-4F73-B011-2BC544AE90D0}"/>
    <cellStyle name="Normal 12 3 2 2 4" xfId="9505" xr:uid="{B127619B-367D-40AD-851E-01DDBB2DCD13}"/>
    <cellStyle name="Normal 12 3 2 2 5" xfId="10193" xr:uid="{847FD3BD-1203-439F-BF1D-CDF221B5106F}"/>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3B420217-2453-4561-AE1B-ED83804E609D}"/>
    <cellStyle name="Normal 12 3 2 3 2 3" xfId="12751" xr:uid="{6013638C-8F7A-43EB-B3B6-849618DBED73}"/>
    <cellStyle name="Normal 12 3 2 3 3" xfId="5497" xr:uid="{00000000-0005-0000-0000-0000260E0000}"/>
    <cellStyle name="Normal 12 3 2 3 3 2" xfId="14823" xr:uid="{BAC125B2-A946-462D-A4A6-46DD8E5AD598}"/>
    <cellStyle name="Normal 12 3 2 3 4" xfId="10606" xr:uid="{E83B2E2F-2F31-43CD-AEDF-9EEC33B7C791}"/>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E2AF92E8-42C6-4358-899A-1BD408BCF71E}"/>
    <cellStyle name="Normal 12 3 2 4 2 3" xfId="13164" xr:uid="{8484385A-3713-4595-84B3-814AB37E8A9E}"/>
    <cellStyle name="Normal 12 3 2 4 3" xfId="5910" xr:uid="{00000000-0005-0000-0000-00002A0E0000}"/>
    <cellStyle name="Normal 12 3 2 4 3 2" xfId="15236" xr:uid="{BF84236A-554C-4C62-B38A-1DB0A9E58783}"/>
    <cellStyle name="Normal 12 3 2 4 4" xfId="11019" xr:uid="{E262AF1C-DDFE-401F-AE2C-B8A8E670C1F3}"/>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CE841549-2305-41EF-9F42-3C7A8E466BA1}"/>
    <cellStyle name="Normal 12 3 2 5 2 3" xfId="13577" xr:uid="{D1119706-5ACB-4955-A8C7-CC294281C6C4}"/>
    <cellStyle name="Normal 12 3 2 5 3" xfId="6323" xr:uid="{00000000-0005-0000-0000-00002E0E0000}"/>
    <cellStyle name="Normal 12 3 2 5 3 2" xfId="15649" xr:uid="{8F799A9C-7054-4CCD-975D-829D5174E913}"/>
    <cellStyle name="Normal 12 3 2 5 4" xfId="11432" xr:uid="{4B74A896-F3BC-49A2-84D5-8852D7917274}"/>
    <cellStyle name="Normal 12 3 2 6" xfId="2453" xr:uid="{00000000-0005-0000-0000-00002F0E0000}"/>
    <cellStyle name="Normal 12 3 2 6 2" xfId="6736" xr:uid="{00000000-0005-0000-0000-0000300E0000}"/>
    <cellStyle name="Normal 12 3 2 6 2 2" xfId="16062" xr:uid="{566D70E2-E4D0-473A-ABF1-02159E53A1CD}"/>
    <cellStyle name="Normal 12 3 2 6 3" xfId="11845" xr:uid="{3ACF75FA-B76E-4629-8182-AF25738FA4AB}"/>
    <cellStyle name="Normal 12 3 2 7" xfId="4670" xr:uid="{00000000-0005-0000-0000-0000310E0000}"/>
    <cellStyle name="Normal 12 3 2 7 2" xfId="13996" xr:uid="{A38C6647-9E11-49F0-871A-7E39C898E205}"/>
    <cellStyle name="Normal 12 3 2 8" xfId="9080" xr:uid="{403F3083-4A9F-4295-B676-C31241B8936E}"/>
    <cellStyle name="Normal 12 3 2 9" xfId="9779" xr:uid="{93B00514-F94B-40B6-96EC-89697DECBA18}"/>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33CE6BEB-A2D1-4F9D-B3A9-0536A0BEB245}"/>
    <cellStyle name="Normal 12 3 3 2 3" xfId="12337" xr:uid="{DB2AE831-3A76-422B-A473-BD6262F11A8B}"/>
    <cellStyle name="Normal 12 3 3 3" xfId="5083" xr:uid="{00000000-0005-0000-0000-0000350E0000}"/>
    <cellStyle name="Normal 12 3 3 3 2" xfId="14409" xr:uid="{3FC728B2-A9B9-450A-A597-B947B820FBCA}"/>
    <cellStyle name="Normal 12 3 3 4" xfId="9298" xr:uid="{A6F9D711-F86A-406D-B160-91678C261745}"/>
    <cellStyle name="Normal 12 3 3 5" xfId="10192" xr:uid="{5F4A2BF6-A46D-4BE7-A4F1-045BAC04E64C}"/>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E141C5AE-C7F9-4749-A152-1812F0ECF3EF}"/>
    <cellStyle name="Normal 12 3 4 2 3" xfId="12750" xr:uid="{5DE16BE6-B179-4E19-BF45-74905D35CA64}"/>
    <cellStyle name="Normal 12 3 4 3" xfId="5496" xr:uid="{00000000-0005-0000-0000-0000390E0000}"/>
    <cellStyle name="Normal 12 3 4 3 2" xfId="14822" xr:uid="{B83940C8-8E37-4A77-B59A-7D5AD94E21C5}"/>
    <cellStyle name="Normal 12 3 4 4" xfId="10605" xr:uid="{40895C55-4FF8-49C5-B4EC-4B910C10421C}"/>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6C560E57-B709-44DC-AAC9-E232D9FEDEE5}"/>
    <cellStyle name="Normal 12 3 5 2 3" xfId="13163" xr:uid="{1596B92A-5777-425C-916E-0876E7EE09AD}"/>
    <cellStyle name="Normal 12 3 5 3" xfId="5909" xr:uid="{00000000-0005-0000-0000-00003D0E0000}"/>
    <cellStyle name="Normal 12 3 5 3 2" xfId="15235" xr:uid="{346DE29C-BCE4-48DB-98C5-90FE3ACD0442}"/>
    <cellStyle name="Normal 12 3 5 4" xfId="11018" xr:uid="{2B208304-6301-4309-9BA1-6EC27DEBE818}"/>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B021AC71-C825-45F5-A9A5-32537E8D6F67}"/>
    <cellStyle name="Normal 12 3 6 2 3" xfId="13576" xr:uid="{36F1C8AE-0D05-48A1-BF75-B1DF2508FF84}"/>
    <cellStyle name="Normal 12 3 6 3" xfId="6322" xr:uid="{00000000-0005-0000-0000-0000410E0000}"/>
    <cellStyle name="Normal 12 3 6 3 2" xfId="15648" xr:uid="{20A9B207-51FE-47CB-A26F-EAB07B3744EA}"/>
    <cellStyle name="Normal 12 3 6 4" xfId="11431" xr:uid="{ACA1F329-4CA6-4BAB-B0BC-7B3E43977F7D}"/>
    <cellStyle name="Normal 12 3 7" xfId="2452" xr:uid="{00000000-0005-0000-0000-0000420E0000}"/>
    <cellStyle name="Normal 12 3 7 2" xfId="6735" xr:uid="{00000000-0005-0000-0000-0000430E0000}"/>
    <cellStyle name="Normal 12 3 7 2 2" xfId="16061" xr:uid="{1C7883F8-B33C-4145-97D8-6F79FCD33B34}"/>
    <cellStyle name="Normal 12 3 7 3" xfId="11844" xr:uid="{F29E7CA9-B982-456B-9C0F-B31AF608488C}"/>
    <cellStyle name="Normal 12 3 8" xfId="4669" xr:uid="{00000000-0005-0000-0000-0000440E0000}"/>
    <cellStyle name="Normal 12 3 8 2" xfId="13995" xr:uid="{F691E38E-542A-4094-8953-E0CFFF9BA395}"/>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DD149E80-94EB-4A7F-A6FB-7E68E0970468}"/>
    <cellStyle name="Normal 12 4 2 2 3" xfId="12339" xr:uid="{CDF3E9A3-71B3-4B2D-9131-C2C6CB5B4584}"/>
    <cellStyle name="Normal 12 4 2 3" xfId="5085" xr:uid="{00000000-0005-0000-0000-0000490E0000}"/>
    <cellStyle name="Normal 12 4 2 3 2" xfId="14411" xr:uid="{58D4D285-85DF-4628-AA65-0B67EC9CDE11}"/>
    <cellStyle name="Normal 12 4 2 4" xfId="9402" xr:uid="{F40C9AB7-F4D0-4A65-BBAA-FF5409160FE5}"/>
    <cellStyle name="Normal 12 4 2 5" xfId="10194" xr:uid="{DD1BE90D-037F-459C-A923-7CD55175E847}"/>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76DB00F9-CAF6-446A-A12C-1379D5F12AC8}"/>
    <cellStyle name="Normal 12 4 3 2 3" xfId="12752" xr:uid="{4E47C9E4-23AB-4D39-AC83-673983BA7DF3}"/>
    <cellStyle name="Normal 12 4 3 3" xfId="5498" xr:uid="{00000000-0005-0000-0000-00004D0E0000}"/>
    <cellStyle name="Normal 12 4 3 3 2" xfId="14824" xr:uid="{408C666E-DD5A-484F-A267-7D7430BFC7DC}"/>
    <cellStyle name="Normal 12 4 3 4" xfId="10607" xr:uid="{D12DD5AB-1495-491C-9BD0-C6FF9FD48097}"/>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7880C18A-2439-4F91-A567-5AA2C2269A40}"/>
    <cellStyle name="Normal 12 4 4 2 3" xfId="13165" xr:uid="{7ADB4BE3-581B-43F3-9A65-D7805BD03859}"/>
    <cellStyle name="Normal 12 4 4 3" xfId="5911" xr:uid="{00000000-0005-0000-0000-0000510E0000}"/>
    <cellStyle name="Normal 12 4 4 3 2" xfId="15237" xr:uid="{1FABBF8D-8E61-41F4-82C3-C78033053966}"/>
    <cellStyle name="Normal 12 4 4 4" xfId="11020" xr:uid="{5F8CA837-3F8A-477C-B18D-C59C76BE51FB}"/>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B87B444B-2FA4-4163-ADDB-62FF2C939E5F}"/>
    <cellStyle name="Normal 12 4 5 2 3" xfId="13578" xr:uid="{5384ACC9-4AD2-4825-A955-94CA3E8C5259}"/>
    <cellStyle name="Normal 12 4 5 3" xfId="6324" xr:uid="{00000000-0005-0000-0000-0000550E0000}"/>
    <cellStyle name="Normal 12 4 5 3 2" xfId="15650" xr:uid="{CEE85D68-B277-4305-B811-B3AC716FDCDF}"/>
    <cellStyle name="Normal 12 4 5 4" xfId="11433" xr:uid="{068355E3-E84A-41F1-B5B9-2FFB8EC88207}"/>
    <cellStyle name="Normal 12 4 6" xfId="2454" xr:uid="{00000000-0005-0000-0000-0000560E0000}"/>
    <cellStyle name="Normal 12 4 6 2" xfId="6737" xr:uid="{00000000-0005-0000-0000-0000570E0000}"/>
    <cellStyle name="Normal 12 4 6 2 2" xfId="16063" xr:uid="{24FFB52A-3D57-4918-959D-94D3788DEF81}"/>
    <cellStyle name="Normal 12 4 6 3" xfId="11846" xr:uid="{84AAE3C3-5DBB-4836-8177-FF057CE973DF}"/>
    <cellStyle name="Normal 12 4 7" xfId="4671" xr:uid="{00000000-0005-0000-0000-0000580E0000}"/>
    <cellStyle name="Normal 12 4 7 2" xfId="13997" xr:uid="{344ED6A4-E5D7-4C86-A1DC-B8034084430E}"/>
    <cellStyle name="Normal 12 4 8" xfId="8977" xr:uid="{5BFFE5F3-99F6-4DA1-A3EF-BF749B3B7ACB}"/>
    <cellStyle name="Normal 12 4 9" xfId="9780" xr:uid="{9B910EA4-A5C4-4909-902D-DAD2F2117122}"/>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2 2 2" xfId="16549" xr:uid="{970D595D-2259-4F42-999E-8FF054FA40F7}"/>
    <cellStyle name="Normal 12 6 2 3" xfId="12332" xr:uid="{B3F76EDC-56E8-4AEE-A176-609D2FFF76CC}"/>
    <cellStyle name="Normal 12 6 3" xfId="5078" xr:uid="{00000000-0005-0000-0000-00005D0E0000}"/>
    <cellStyle name="Normal 12 6 3 2" xfId="14404" xr:uid="{7CD11543-F9E0-43C8-A211-219B2342EF8C}"/>
    <cellStyle name="Normal 12 6 4" xfId="9194" xr:uid="{92D32932-3865-4F6F-A551-9A99EC116A43}"/>
    <cellStyle name="Normal 12 6 5" xfId="10187" xr:uid="{A5B2043D-2E54-4A7E-A93E-6F5809D44D5C}"/>
    <cellStyle name="Normal 12 7" xfId="1183" xr:uid="{00000000-0005-0000-0000-00005E0E0000}"/>
    <cellStyle name="Normal 12 7 2" xfId="3414" xr:uid="{00000000-0005-0000-0000-00005F0E0000}"/>
    <cellStyle name="Normal 12 7 2 2" xfId="7636" xr:uid="{00000000-0005-0000-0000-0000600E0000}"/>
    <cellStyle name="Normal 12 7 2 2 2" xfId="16962" xr:uid="{2B1F9466-B3BA-4789-9933-4ADEFADF9A32}"/>
    <cellStyle name="Normal 12 7 2 3" xfId="12745" xr:uid="{792E0CEC-AA0C-4747-A67B-82119F1D015C}"/>
    <cellStyle name="Normal 12 7 3" xfId="5491" xr:uid="{00000000-0005-0000-0000-0000610E0000}"/>
    <cellStyle name="Normal 12 7 3 2" xfId="14817" xr:uid="{39DA4EDE-C838-4B88-9E65-8A52D40B1425}"/>
    <cellStyle name="Normal 12 7 4" xfId="10600" xr:uid="{D0454BB2-9B15-4793-A770-94A2A35AF40B}"/>
    <cellStyle name="Normal 12 8" xfId="1597" xr:uid="{00000000-0005-0000-0000-0000620E0000}"/>
    <cellStyle name="Normal 12 8 2" xfId="3827" xr:uid="{00000000-0005-0000-0000-0000630E0000}"/>
    <cellStyle name="Normal 12 8 2 2" xfId="8049" xr:uid="{00000000-0005-0000-0000-0000640E0000}"/>
    <cellStyle name="Normal 12 8 2 2 2" xfId="17375" xr:uid="{A3D8884B-2C5F-4D8D-A9AF-E4C905A77203}"/>
    <cellStyle name="Normal 12 8 2 3" xfId="13158" xr:uid="{B518EF1B-1D38-4851-9821-BB0620C4E3A8}"/>
    <cellStyle name="Normal 12 8 3" xfId="5904" xr:uid="{00000000-0005-0000-0000-0000650E0000}"/>
    <cellStyle name="Normal 12 8 3 2" xfId="15230" xr:uid="{529DD088-763A-446C-8085-8694EF9A9422}"/>
    <cellStyle name="Normal 12 8 4" xfId="11013" xr:uid="{80B0482A-7A6F-4980-B106-52AF5F14EE7C}"/>
    <cellStyle name="Normal 12 9" xfId="2011" xr:uid="{00000000-0005-0000-0000-0000660E0000}"/>
    <cellStyle name="Normal 12 9 2" xfId="4240" xr:uid="{00000000-0005-0000-0000-0000670E0000}"/>
    <cellStyle name="Normal 12 9 2 2" xfId="8462" xr:uid="{00000000-0005-0000-0000-0000680E0000}"/>
    <cellStyle name="Normal 12 9 2 2 2" xfId="17788" xr:uid="{92E04EA7-E752-4313-B394-3B9DCF2BEE0B}"/>
    <cellStyle name="Normal 12 9 2 3" xfId="13571" xr:uid="{3AC998CE-D7A6-4D40-9060-DF048CCDFA3D}"/>
    <cellStyle name="Normal 12 9 3" xfId="6317" xr:uid="{00000000-0005-0000-0000-0000690E0000}"/>
    <cellStyle name="Normal 12 9 3 2" xfId="15643" xr:uid="{4A2BF6F6-C104-43D8-B625-029CBF3344C0}"/>
    <cellStyle name="Normal 12 9 4" xfId="11426" xr:uid="{8C77E666-CDC7-4912-A75F-968BBB352DD2}"/>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57" xr:uid="{3D89566D-DE94-44A9-833C-22DCE962B8E3}"/>
    <cellStyle name="Normal 14 2 2 3" xfId="12340" xr:uid="{3EBD1635-DA11-492F-B28A-C4A1308599BB}"/>
    <cellStyle name="Normal 14 2 3" xfId="5086" xr:uid="{00000000-0005-0000-0000-0000700E0000}"/>
    <cellStyle name="Normal 14 2 3 2" xfId="14412" xr:uid="{111D45CD-EF7B-4CB5-AF8F-A5EA84EDFFD4}"/>
    <cellStyle name="Normal 14 2 4" xfId="9371" xr:uid="{E1AFB5B4-F468-480A-B09F-3374B2F03BDA}"/>
    <cellStyle name="Normal 14 2 5" xfId="10195" xr:uid="{744D946B-B38C-41FC-9E9D-E23CF5DEA391}"/>
    <cellStyle name="Normal 14 3" xfId="1191" xr:uid="{00000000-0005-0000-0000-0000710E0000}"/>
    <cellStyle name="Normal 14 3 2" xfId="3422" xr:uid="{00000000-0005-0000-0000-0000720E0000}"/>
    <cellStyle name="Normal 14 3 2 2" xfId="7644" xr:uid="{00000000-0005-0000-0000-0000730E0000}"/>
    <cellStyle name="Normal 14 3 2 2 2" xfId="16970" xr:uid="{40240D4F-A856-4C5C-B3BD-DA06674A5D70}"/>
    <cellStyle name="Normal 14 3 2 3" xfId="12753" xr:uid="{B84B99E2-064A-44F4-B839-675E66C491AD}"/>
    <cellStyle name="Normal 14 3 3" xfId="5499" xr:uid="{00000000-0005-0000-0000-0000740E0000}"/>
    <cellStyle name="Normal 14 3 3 2" xfId="14825" xr:uid="{552D6640-E8CD-4A07-BAFA-B14190344982}"/>
    <cellStyle name="Normal 14 3 4" xfId="10608" xr:uid="{CD9CEDC7-8008-4245-91B2-DCE5D9CE77C9}"/>
    <cellStyle name="Normal 14 4" xfId="1605" xr:uid="{00000000-0005-0000-0000-0000750E0000}"/>
    <cellStyle name="Normal 14 4 2" xfId="3835" xr:uid="{00000000-0005-0000-0000-0000760E0000}"/>
    <cellStyle name="Normal 14 4 2 2" xfId="8057" xr:uid="{00000000-0005-0000-0000-0000770E0000}"/>
    <cellStyle name="Normal 14 4 2 2 2" xfId="17383" xr:uid="{882F0BDA-B8C3-48F6-B4B2-29EA6EB9058C}"/>
    <cellStyle name="Normal 14 4 2 3" xfId="13166" xr:uid="{2E7B0A2D-159B-49EB-8B50-18A2BFE1DB2F}"/>
    <cellStyle name="Normal 14 4 3" xfId="5912" xr:uid="{00000000-0005-0000-0000-0000780E0000}"/>
    <cellStyle name="Normal 14 4 3 2" xfId="15238" xr:uid="{1E3D7751-5A51-4A94-8F27-366926641234}"/>
    <cellStyle name="Normal 14 4 4" xfId="11021" xr:uid="{EEEE68DE-A0A4-4044-BC12-075C7F127A8F}"/>
    <cellStyle name="Normal 14 5" xfId="2019" xr:uid="{00000000-0005-0000-0000-0000790E0000}"/>
    <cellStyle name="Normal 14 5 2" xfId="4248" xr:uid="{00000000-0005-0000-0000-00007A0E0000}"/>
    <cellStyle name="Normal 14 5 2 2" xfId="8470" xr:uid="{00000000-0005-0000-0000-00007B0E0000}"/>
    <cellStyle name="Normal 14 5 2 2 2" xfId="17796" xr:uid="{62FF12A8-7085-4C96-A02E-2CC2D6483223}"/>
    <cellStyle name="Normal 14 5 2 3" xfId="13579" xr:uid="{07166B32-BFC7-498F-BCB0-676F16FD488A}"/>
    <cellStyle name="Normal 14 5 3" xfId="6325" xr:uid="{00000000-0005-0000-0000-00007C0E0000}"/>
    <cellStyle name="Normal 14 5 3 2" xfId="15651" xr:uid="{948E0B4B-AE0B-45DF-ACEE-03EFF90E873E}"/>
    <cellStyle name="Normal 14 5 4" xfId="11434" xr:uid="{5C9BAEE5-9633-4F5A-A24E-913C99DF879C}"/>
    <cellStyle name="Normal 14 6" xfId="2455" xr:uid="{00000000-0005-0000-0000-00007D0E0000}"/>
    <cellStyle name="Normal 14 6 2" xfId="6738" xr:uid="{00000000-0005-0000-0000-00007E0E0000}"/>
    <cellStyle name="Normal 14 6 2 2" xfId="16064" xr:uid="{C576B6E8-0D28-4822-8DFC-7157B82F164E}"/>
    <cellStyle name="Normal 14 6 3" xfId="11847" xr:uid="{7B8DE28F-7EEC-4C2E-AE43-3817993D7814}"/>
    <cellStyle name="Normal 14 7" xfId="4672" xr:uid="{00000000-0005-0000-0000-00007F0E0000}"/>
    <cellStyle name="Normal 14 7 2" xfId="13998" xr:uid="{6AA2E6BF-B314-41FF-8848-7368E98AE7F5}"/>
    <cellStyle name="Normal 14 8" xfId="8946" xr:uid="{DD997A1C-6669-41AA-8AC1-78121AFC796C}"/>
    <cellStyle name="Normal 14 9" xfId="9781" xr:uid="{2DFCF6C5-6C2C-45C4-BC6E-C4A27EB8C9D6}"/>
    <cellStyle name="Normal 15" xfId="4496" xr:uid="{00000000-0005-0000-0000-0000800E0000}"/>
    <cellStyle name="Normal 15 2" xfId="9578" xr:uid="{99513E76-E7E2-49D8-ADC5-F882C61FFC79}"/>
    <cellStyle name="Normal 15 3" xfId="9155" xr:uid="{47700DD8-A88A-4CB4-BFAD-BA75A2D4FC8E}"/>
    <cellStyle name="Normal 15 4" xfId="13824" xr:uid="{796C80E6-F067-498B-8763-2EA16ADAD19F}"/>
    <cellStyle name="Normal 16" xfId="4500" xr:uid="{00000000-0005-0000-0000-0000810E0000}"/>
    <cellStyle name="Normal 16 2" xfId="8715" xr:uid="{00000000-0005-0000-0000-0000820E0000}"/>
    <cellStyle name="Normal 16 2 2" xfId="18041" xr:uid="{927735F4-F7EA-40B7-A721-ED799FFE7712}"/>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3" xfId="18057" xr:uid="{1D27A543-F976-49AF-B37F-ACF6BA57DACB}"/>
    <cellStyle name="Normal 16 3 2 2 2 3" xfId="18054" xr:uid="{82AA8A3D-982F-4C19-96C8-7F778FF5570F}"/>
    <cellStyle name="Normal 16 3 2 2 3" xfId="18050" xr:uid="{ADD824BF-3B24-46E7-A783-C10390F039CE}"/>
    <cellStyle name="Normal 16 3 2 3" xfId="18047" xr:uid="{A80D9BB9-CC16-410E-A04E-761346ED16CD}"/>
    <cellStyle name="Normal 16 3 3" xfId="18044" xr:uid="{5F3ABD74-B05E-4167-8F11-9AC398AB6E12}"/>
    <cellStyle name="Normal 16 4" xfId="9612" xr:uid="{8729F6E8-3534-4DAE-B0B2-B2AF3CDCD313}"/>
    <cellStyle name="Normal 16 5" xfId="13827" xr:uid="{18EEB3EF-F6D1-4A38-BBFA-6619196B18E7}"/>
    <cellStyle name="Normal 17" xfId="8728" xr:uid="{3FF0972C-833B-4475-99D8-1A6907499E71}"/>
    <cellStyle name="Normal 17 2" xfId="9157" xr:uid="{6C872296-5E17-4821-9139-E52AD113B06C}"/>
    <cellStyle name="Normal 17 3" xfId="9154" xr:uid="{DC3FF210-EC1F-47CE-8CCE-F8F5460671B1}"/>
    <cellStyle name="Normal 17 4" xfId="18053" xr:uid="{35B3965E-6FFE-478C-B78D-9B9B6D2B4CCF}"/>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7C2ACB38-38B9-4F65-93CC-74C13E6858BA}"/>
    <cellStyle name="Normal 2 4 2 10 2 3" xfId="13580" xr:uid="{E145FA85-B035-4B81-AF0D-432514B4E4EF}"/>
    <cellStyle name="Normal 2 4 2 10 3" xfId="6326" xr:uid="{00000000-0005-0000-0000-0000910E0000}"/>
    <cellStyle name="Normal 2 4 2 10 3 2" xfId="15652" xr:uid="{7C70C0B3-F08C-4339-88BE-F92AB91D0505}"/>
    <cellStyle name="Normal 2 4 2 10 4" xfId="11435" xr:uid="{519B2877-2D61-4DCB-820D-4D1DDC2BE02B}"/>
    <cellStyle name="Normal 2 4 2 11" xfId="2456" xr:uid="{00000000-0005-0000-0000-0000920E0000}"/>
    <cellStyle name="Normal 2 4 2 11 2" xfId="6739" xr:uid="{00000000-0005-0000-0000-0000930E0000}"/>
    <cellStyle name="Normal 2 4 2 11 2 2" xfId="16065" xr:uid="{F9E43635-9F5B-4F15-92A2-A025199FC849}"/>
    <cellStyle name="Normal 2 4 2 11 3" xfId="11848" xr:uid="{113389B0-2DB8-40EC-A6B2-A13B6AE1D833}"/>
    <cellStyle name="Normal 2 4 2 12" xfId="4673" xr:uid="{00000000-0005-0000-0000-0000940E0000}"/>
    <cellStyle name="Normal 2 4 2 12 2" xfId="13999" xr:uid="{C8A069CF-C410-46E9-B803-F9DD4BC97CA9}"/>
    <cellStyle name="Normal 2 4 2 13" xfId="8757" xr:uid="{563A76DD-F7DD-49F0-A61E-0419F4C31301}"/>
    <cellStyle name="Normal 2 4 2 14" xfId="9782" xr:uid="{DF611270-610E-4578-9838-5FAD750381BA}"/>
    <cellStyle name="Normal 2 4 2 2" xfId="280" xr:uid="{00000000-0005-0000-0000-0000950E0000}"/>
    <cellStyle name="Normal 2 4 2 3" xfId="281" xr:uid="{00000000-0005-0000-0000-0000960E0000}"/>
    <cellStyle name="Normal 2 4 2 3 10" xfId="4674" xr:uid="{00000000-0005-0000-0000-0000970E0000}"/>
    <cellStyle name="Normal 2 4 2 3 10 2" xfId="14000" xr:uid="{B6991705-9DAE-4AF4-A014-B24743A52499}"/>
    <cellStyle name="Normal 2 4 2 3 11" xfId="8788" xr:uid="{EAD3D227-C8EF-4F54-8D24-EE1EA1F017BB}"/>
    <cellStyle name="Normal 2 4 2 3 12" xfId="9783" xr:uid="{E58C6D0F-5747-4096-9525-C5AA62C52DF4}"/>
    <cellStyle name="Normal 2 4 2 3 2" xfId="282" xr:uid="{00000000-0005-0000-0000-0000980E0000}"/>
    <cellStyle name="Normal 2 4 2 3 2 10" xfId="8813" xr:uid="{C03AE35D-2438-4E07-AE9C-6D04EC6DA2B7}"/>
    <cellStyle name="Normal 2 4 2 3 2 11" xfId="9784" xr:uid="{46C00A74-0990-40DE-87A7-34C3087F0DCB}"/>
    <cellStyle name="Normal 2 4 2 3 2 2" xfId="283" xr:uid="{00000000-0005-0000-0000-0000990E0000}"/>
    <cellStyle name="Normal 2 4 2 3 2 2 10" xfId="9785" xr:uid="{B9569D71-602F-4F2C-8328-877D7E57AA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8C1D71E5-D4A4-4CDB-958D-A2AB0E9AD939}"/>
    <cellStyle name="Normal 2 4 2 3 2 2 2 2 2 3" xfId="12345" xr:uid="{70042C14-A149-46CA-A7A8-B08921A1F65F}"/>
    <cellStyle name="Normal 2 4 2 3 2 2 2 2 3" xfId="5091" xr:uid="{00000000-0005-0000-0000-00009E0E0000}"/>
    <cellStyle name="Normal 2 4 2 3 2 2 2 2 3 2" xfId="14417" xr:uid="{65901868-AE87-4F85-9E29-8822351CFC04}"/>
    <cellStyle name="Normal 2 4 2 3 2 2 2 2 4" xfId="9548" xr:uid="{29E7289E-B3F4-4F63-9B9C-B531B0E50CEB}"/>
    <cellStyle name="Normal 2 4 2 3 2 2 2 2 5" xfId="10200" xr:uid="{17609C16-25D2-4A22-890C-8C8228995AD5}"/>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4DBCC25F-5A40-4E97-BF6F-AECB06C20E02}"/>
    <cellStyle name="Normal 2 4 2 3 2 2 2 3 2 3" xfId="12758" xr:uid="{E18D3A21-B649-4B6F-BEEE-EE57F61CB2E5}"/>
    <cellStyle name="Normal 2 4 2 3 2 2 2 3 3" xfId="5504" xr:uid="{00000000-0005-0000-0000-0000A20E0000}"/>
    <cellStyle name="Normal 2 4 2 3 2 2 2 3 3 2" xfId="14830" xr:uid="{8C5E9706-72C7-498F-9EA8-C7BD5A6560E2}"/>
    <cellStyle name="Normal 2 4 2 3 2 2 2 3 4" xfId="10613" xr:uid="{A04ED398-8B89-4378-A0FC-4D34FA73D5DD}"/>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1CCBD7B5-EFC1-4F95-BC16-D8B1DDA77979}"/>
    <cellStyle name="Normal 2 4 2 3 2 2 2 4 2 3" xfId="13171" xr:uid="{6D7B269E-8B68-4964-B616-21842A2658B8}"/>
    <cellStyle name="Normal 2 4 2 3 2 2 2 4 3" xfId="5917" xr:uid="{00000000-0005-0000-0000-0000A60E0000}"/>
    <cellStyle name="Normal 2 4 2 3 2 2 2 4 3 2" xfId="15243" xr:uid="{BBA41FFE-9FCB-44C7-8397-12945390DE6C}"/>
    <cellStyle name="Normal 2 4 2 3 2 2 2 4 4" xfId="11026" xr:uid="{58C8EDC4-F0FC-41BC-A17C-BA7A957412F3}"/>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125B92D3-C6E1-46D1-9672-D812E02080E9}"/>
    <cellStyle name="Normal 2 4 2 3 2 2 2 5 2 3" xfId="13584" xr:uid="{BDEA9FD1-30BF-472A-9A56-5D5BFB211666}"/>
    <cellStyle name="Normal 2 4 2 3 2 2 2 5 3" xfId="6330" xr:uid="{00000000-0005-0000-0000-0000AA0E0000}"/>
    <cellStyle name="Normal 2 4 2 3 2 2 2 5 3 2" xfId="15656" xr:uid="{601E33A6-FFB1-497E-82AD-C36C4A8E90A8}"/>
    <cellStyle name="Normal 2 4 2 3 2 2 2 5 4" xfId="11439" xr:uid="{6C62A6FA-86EF-48D5-AD22-3425D0DEE2E0}"/>
    <cellStyle name="Normal 2 4 2 3 2 2 2 6" xfId="2460" xr:uid="{00000000-0005-0000-0000-0000AB0E0000}"/>
    <cellStyle name="Normal 2 4 2 3 2 2 2 6 2" xfId="6743" xr:uid="{00000000-0005-0000-0000-0000AC0E0000}"/>
    <cellStyle name="Normal 2 4 2 3 2 2 2 6 2 2" xfId="16069" xr:uid="{74478BAE-BACD-49F8-AF3A-0F10F7A56465}"/>
    <cellStyle name="Normal 2 4 2 3 2 2 2 6 3" xfId="11852" xr:uid="{64494B29-3193-4AB1-97E6-AAE90EFE04DB}"/>
    <cellStyle name="Normal 2 4 2 3 2 2 2 7" xfId="4677" xr:uid="{00000000-0005-0000-0000-0000AD0E0000}"/>
    <cellStyle name="Normal 2 4 2 3 2 2 2 7 2" xfId="14003" xr:uid="{6ECDF690-228E-45DB-BF04-700F3358B628}"/>
    <cellStyle name="Normal 2 4 2 3 2 2 2 8" xfId="9123" xr:uid="{9F0183A9-880D-46D9-BB7D-5696E4723F5F}"/>
    <cellStyle name="Normal 2 4 2 3 2 2 2 9" xfId="9786" xr:uid="{820AECA8-38D5-43F9-9F27-93C3014C8F0E}"/>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95D5AA8D-2BCB-4EAD-96B1-77CF7F8C3117}"/>
    <cellStyle name="Normal 2 4 2 3 2 2 3 2 3" xfId="12344" xr:uid="{2822A764-4793-4A55-BE43-B1D37723B7A4}"/>
    <cellStyle name="Normal 2 4 2 3 2 2 3 3" xfId="5090" xr:uid="{00000000-0005-0000-0000-0000B10E0000}"/>
    <cellStyle name="Normal 2 4 2 3 2 2 3 3 2" xfId="14416" xr:uid="{5E2E83D9-5090-45F4-8154-14B627D1DB1D}"/>
    <cellStyle name="Normal 2 4 2 3 2 2 3 4" xfId="9341" xr:uid="{4F113FF5-050D-47D1-A7D5-F829C93D993D}"/>
    <cellStyle name="Normal 2 4 2 3 2 2 3 5" xfId="10199" xr:uid="{5898AC7D-9D00-4A15-BA9B-5D61863E30DE}"/>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F7D4B22C-F6FC-444E-BBFF-06D2E8129D09}"/>
    <cellStyle name="Normal 2 4 2 3 2 2 4 2 3" xfId="12757" xr:uid="{84760453-2096-4CC0-B6C7-0826B7D8C6E5}"/>
    <cellStyle name="Normal 2 4 2 3 2 2 4 3" xfId="5503" xr:uid="{00000000-0005-0000-0000-0000B50E0000}"/>
    <cellStyle name="Normal 2 4 2 3 2 2 4 3 2" xfId="14829" xr:uid="{8F7044DD-6123-4593-96A1-512950CF0E63}"/>
    <cellStyle name="Normal 2 4 2 3 2 2 4 4" xfId="10612" xr:uid="{E71395D0-3526-4C9A-B343-3AD512978D9B}"/>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822653AA-69CF-4B42-9A4F-6AA74F24B60D}"/>
    <cellStyle name="Normal 2 4 2 3 2 2 5 2 3" xfId="13170" xr:uid="{00FA2689-BA79-4741-8745-4A1F9A0EB081}"/>
    <cellStyle name="Normal 2 4 2 3 2 2 5 3" xfId="5916" xr:uid="{00000000-0005-0000-0000-0000B90E0000}"/>
    <cellStyle name="Normal 2 4 2 3 2 2 5 3 2" xfId="15242" xr:uid="{54D1D3C9-597B-4C6C-8AD7-6E9D7AD7F6D1}"/>
    <cellStyle name="Normal 2 4 2 3 2 2 5 4" xfId="11025" xr:uid="{DEDF5F7D-0E83-47A7-9B30-8D8C199F9245}"/>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401C7762-3FED-4BD1-9285-6832AFF85638}"/>
    <cellStyle name="Normal 2 4 2 3 2 2 6 2 3" xfId="13583" xr:uid="{3DDE213B-4A35-4869-BF8B-6DBB41AD39A1}"/>
    <cellStyle name="Normal 2 4 2 3 2 2 6 3" xfId="6329" xr:uid="{00000000-0005-0000-0000-0000BD0E0000}"/>
    <cellStyle name="Normal 2 4 2 3 2 2 6 3 2" xfId="15655" xr:uid="{AEC55E81-C22E-4429-97A2-FDA1DAD8D173}"/>
    <cellStyle name="Normal 2 4 2 3 2 2 6 4" xfId="11438" xr:uid="{F343AA93-3F41-425C-85F7-B630FC44C12C}"/>
    <cellStyle name="Normal 2 4 2 3 2 2 7" xfId="2459" xr:uid="{00000000-0005-0000-0000-0000BE0E0000}"/>
    <cellStyle name="Normal 2 4 2 3 2 2 7 2" xfId="6742" xr:uid="{00000000-0005-0000-0000-0000BF0E0000}"/>
    <cellStyle name="Normal 2 4 2 3 2 2 7 2 2" xfId="16068" xr:uid="{992E6F34-6840-44A5-833D-D46DF0831821}"/>
    <cellStyle name="Normal 2 4 2 3 2 2 7 3" xfId="11851" xr:uid="{E12828FD-FBD7-47C3-98D7-712CAD3935A8}"/>
    <cellStyle name="Normal 2 4 2 3 2 2 8" xfId="4676" xr:uid="{00000000-0005-0000-0000-0000C00E0000}"/>
    <cellStyle name="Normal 2 4 2 3 2 2 8 2" xfId="14002" xr:uid="{D13CC380-DD3B-4F62-B296-A1054C6A4845}"/>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263723CC-EE71-4325-AC47-F7EADB778859}"/>
    <cellStyle name="Normal 2 4 2 3 2 3 2 2 3" xfId="12346" xr:uid="{B70F6900-D395-4C0F-A8B6-D3F52CFF8E0C}"/>
    <cellStyle name="Normal 2 4 2 3 2 3 2 3" xfId="5092" xr:uid="{00000000-0005-0000-0000-0000C50E0000}"/>
    <cellStyle name="Normal 2 4 2 3 2 3 2 3 2" xfId="14418" xr:uid="{22583C35-7A8E-449C-8CBB-C859C783383F}"/>
    <cellStyle name="Normal 2 4 2 3 2 3 2 4" xfId="9445" xr:uid="{67F9E33C-8554-469D-8D7A-1147F632F3B0}"/>
    <cellStyle name="Normal 2 4 2 3 2 3 2 5" xfId="10201" xr:uid="{7DDBE03D-2414-4875-8012-71F95C79EF02}"/>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9FD6FD51-9E09-44A1-B821-D624895921B5}"/>
    <cellStyle name="Normal 2 4 2 3 2 3 3 2 3" xfId="12759" xr:uid="{998726F2-BFED-4456-BE51-CC0B5A1854DC}"/>
    <cellStyle name="Normal 2 4 2 3 2 3 3 3" xfId="5505" xr:uid="{00000000-0005-0000-0000-0000C90E0000}"/>
    <cellStyle name="Normal 2 4 2 3 2 3 3 3 2" xfId="14831" xr:uid="{66ABAD08-2403-4E12-9B9B-860E75BDAD80}"/>
    <cellStyle name="Normal 2 4 2 3 2 3 3 4" xfId="10614" xr:uid="{FB94D024-1A1A-4862-876E-6D51A4E6708D}"/>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9DFFEF4A-666A-43DA-B6D5-1C4AAA11C768}"/>
    <cellStyle name="Normal 2 4 2 3 2 3 4 2 3" xfId="13172" xr:uid="{CADC3E88-D051-4AE4-8554-4E0AA02923C5}"/>
    <cellStyle name="Normal 2 4 2 3 2 3 4 3" xfId="5918" xr:uid="{00000000-0005-0000-0000-0000CD0E0000}"/>
    <cellStyle name="Normal 2 4 2 3 2 3 4 3 2" xfId="15244" xr:uid="{E940F013-9C90-4285-8288-F13C7066922D}"/>
    <cellStyle name="Normal 2 4 2 3 2 3 4 4" xfId="11027" xr:uid="{E3BB068E-F992-412F-9327-6DD14E786B2D}"/>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9A277FB7-AF93-49EF-9802-615FE7F3A4E3}"/>
    <cellStyle name="Normal 2 4 2 3 2 3 5 2 3" xfId="13585" xr:uid="{419E2BA5-5581-4350-9394-06B792064B7B}"/>
    <cellStyle name="Normal 2 4 2 3 2 3 5 3" xfId="6331" xr:uid="{00000000-0005-0000-0000-0000D10E0000}"/>
    <cellStyle name="Normal 2 4 2 3 2 3 5 3 2" xfId="15657" xr:uid="{365C4DF6-2341-4F77-A88E-29BCB84D1B93}"/>
    <cellStyle name="Normal 2 4 2 3 2 3 5 4" xfId="11440" xr:uid="{1714E931-409C-4393-B1EE-265C544B99B4}"/>
    <cellStyle name="Normal 2 4 2 3 2 3 6" xfId="2461" xr:uid="{00000000-0005-0000-0000-0000D20E0000}"/>
    <cellStyle name="Normal 2 4 2 3 2 3 6 2" xfId="6744" xr:uid="{00000000-0005-0000-0000-0000D30E0000}"/>
    <cellStyle name="Normal 2 4 2 3 2 3 6 2 2" xfId="16070" xr:uid="{16E38D00-8562-4DB8-A265-313DD144F4D3}"/>
    <cellStyle name="Normal 2 4 2 3 2 3 6 3" xfId="11853" xr:uid="{45954ED5-C378-462A-874D-E551FE49D5B7}"/>
    <cellStyle name="Normal 2 4 2 3 2 3 7" xfId="4678" xr:uid="{00000000-0005-0000-0000-0000D40E0000}"/>
    <cellStyle name="Normal 2 4 2 3 2 3 7 2" xfId="14004" xr:uid="{800C8069-B630-4B49-9222-616EA20406CC}"/>
    <cellStyle name="Normal 2 4 2 3 2 3 8" xfId="9020" xr:uid="{5718F785-8E2C-4B45-91D1-4597173D90A6}"/>
    <cellStyle name="Normal 2 4 2 3 2 3 9" xfId="9787" xr:uid="{8EA06AC7-A072-4126-B29A-410C2E4542A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802BB44D-BB20-4C24-B6F4-D2B0099819EA}"/>
    <cellStyle name="Normal 2 4 2 3 2 4 2 3" xfId="12343" xr:uid="{45CF460C-4F23-4CBA-A4EC-98BE6628914A}"/>
    <cellStyle name="Normal 2 4 2 3 2 4 3" xfId="5089" xr:uid="{00000000-0005-0000-0000-0000D80E0000}"/>
    <cellStyle name="Normal 2 4 2 3 2 4 3 2" xfId="14415" xr:uid="{ECFE6419-7B50-4577-8208-903168A422D1}"/>
    <cellStyle name="Normal 2 4 2 3 2 4 4" xfId="9238" xr:uid="{BC6E5A3D-C256-46E9-A109-D643C24AA206}"/>
    <cellStyle name="Normal 2 4 2 3 2 4 5" xfId="10198" xr:uid="{EA8F7AD8-DB94-40C9-9045-431490855F3D}"/>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12EF985B-4712-4A06-ABF8-880B8CEB9891}"/>
    <cellStyle name="Normal 2 4 2 3 2 5 2 3" xfId="12756" xr:uid="{553D3350-777B-4F62-8788-40D1919323C6}"/>
    <cellStyle name="Normal 2 4 2 3 2 5 3" xfId="5502" xr:uid="{00000000-0005-0000-0000-0000DC0E0000}"/>
    <cellStyle name="Normal 2 4 2 3 2 5 3 2" xfId="14828" xr:uid="{B2FF2B00-4CB8-426B-9661-316799BCA445}"/>
    <cellStyle name="Normal 2 4 2 3 2 5 4" xfId="10611" xr:uid="{EBFF9F64-B490-41CF-A767-9BBDE922B491}"/>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BE3B7007-8690-4F68-B3F8-2D43A8EAF7E5}"/>
    <cellStyle name="Normal 2 4 2 3 2 6 2 3" xfId="13169" xr:uid="{D7CA0260-C439-4BE6-8F20-40936414FF1D}"/>
    <cellStyle name="Normal 2 4 2 3 2 6 3" xfId="5915" xr:uid="{00000000-0005-0000-0000-0000E00E0000}"/>
    <cellStyle name="Normal 2 4 2 3 2 6 3 2" xfId="15241" xr:uid="{EAC9C001-D76C-42BD-8A3B-B99269F53A69}"/>
    <cellStyle name="Normal 2 4 2 3 2 6 4" xfId="11024" xr:uid="{1B0209C0-9DA6-4BC1-94B1-35B6E4695A13}"/>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4691B476-97CB-4AF2-95F1-1D7CAF901D6D}"/>
    <cellStyle name="Normal 2 4 2 3 2 7 2 3" xfId="13582" xr:uid="{2648339B-C554-4E04-BF52-50C072884965}"/>
    <cellStyle name="Normal 2 4 2 3 2 7 3" xfId="6328" xr:uid="{00000000-0005-0000-0000-0000E40E0000}"/>
    <cellStyle name="Normal 2 4 2 3 2 7 3 2" xfId="15654" xr:uid="{E4864648-2C97-42FC-AAAF-4E336E7605E3}"/>
    <cellStyle name="Normal 2 4 2 3 2 7 4" xfId="11437" xr:uid="{267C3C7A-0FC3-4BBB-AE17-355CF1172155}"/>
    <cellStyle name="Normal 2 4 2 3 2 8" xfId="2458" xr:uid="{00000000-0005-0000-0000-0000E50E0000}"/>
    <cellStyle name="Normal 2 4 2 3 2 8 2" xfId="6741" xr:uid="{00000000-0005-0000-0000-0000E60E0000}"/>
    <cellStyle name="Normal 2 4 2 3 2 8 2 2" xfId="16067" xr:uid="{2DA8BDCB-687C-44AE-A3FA-2A01F60B2DB3}"/>
    <cellStyle name="Normal 2 4 2 3 2 8 3" xfId="11850" xr:uid="{E719882D-4D8D-4CC7-AF5F-1F9EC332EE8F}"/>
    <cellStyle name="Normal 2 4 2 3 2 9" xfId="4675" xr:uid="{00000000-0005-0000-0000-0000E70E0000}"/>
    <cellStyle name="Normal 2 4 2 3 2 9 2" xfId="14001" xr:uid="{6DDE6ABA-C2F3-4245-9D63-4226C489ACFF}"/>
    <cellStyle name="Normal 2 4 2 3 3" xfId="286" xr:uid="{00000000-0005-0000-0000-0000E80E0000}"/>
    <cellStyle name="Normal 2 4 2 3 3 10" xfId="9788" xr:uid="{91425E67-A3BC-41DF-B540-AA9F0003B961}"/>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A83804F2-265B-4D53-9E15-F4E533A7DEB4}"/>
    <cellStyle name="Normal 2 4 2 3 3 2 2 2 3" xfId="12348" xr:uid="{319A2EEC-CC35-42A3-9E20-BE05C14E924A}"/>
    <cellStyle name="Normal 2 4 2 3 3 2 2 3" xfId="5094" xr:uid="{00000000-0005-0000-0000-0000ED0E0000}"/>
    <cellStyle name="Normal 2 4 2 3 3 2 2 3 2" xfId="14420" xr:uid="{57B8C2CC-F696-4A18-A295-5D1B9AFFD355}"/>
    <cellStyle name="Normal 2 4 2 3 3 2 2 4" xfId="9523" xr:uid="{49BCB42B-3FEB-4D87-8E20-52FE775F87DD}"/>
    <cellStyle name="Normal 2 4 2 3 3 2 2 5" xfId="10203" xr:uid="{DCE49961-431E-489F-860D-8D07C644D3B1}"/>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D5785221-AC64-4168-A9C8-3262D2096A4C}"/>
    <cellStyle name="Normal 2 4 2 3 3 2 3 2 3" xfId="12761" xr:uid="{7B1AAB2B-E5B0-4C49-93BD-502D646E5A50}"/>
    <cellStyle name="Normal 2 4 2 3 3 2 3 3" xfId="5507" xr:uid="{00000000-0005-0000-0000-0000F10E0000}"/>
    <cellStyle name="Normal 2 4 2 3 3 2 3 3 2" xfId="14833" xr:uid="{26322572-40BA-44BF-A714-15290413CA30}"/>
    <cellStyle name="Normal 2 4 2 3 3 2 3 4" xfId="10616" xr:uid="{D71C119A-381B-4C4F-A091-5ED99891C9A2}"/>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F24B5B05-6E4A-4337-956B-3A40D68EAC3F}"/>
    <cellStyle name="Normal 2 4 2 3 3 2 4 2 3" xfId="13174" xr:uid="{DD0D21B9-50C2-4687-B300-889EA29D8426}"/>
    <cellStyle name="Normal 2 4 2 3 3 2 4 3" xfId="5920" xr:uid="{00000000-0005-0000-0000-0000F50E0000}"/>
    <cellStyle name="Normal 2 4 2 3 3 2 4 3 2" xfId="15246" xr:uid="{B937640C-E878-4938-91D9-3CDC89FED6A9}"/>
    <cellStyle name="Normal 2 4 2 3 3 2 4 4" xfId="11029" xr:uid="{87405F77-7AE2-420A-A684-CA87794B5337}"/>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D2EA6634-8379-48D7-8946-F5462B324238}"/>
    <cellStyle name="Normal 2 4 2 3 3 2 5 2 3" xfId="13587" xr:uid="{FA493F9E-0BE2-4131-9903-A408A318C6C6}"/>
    <cellStyle name="Normal 2 4 2 3 3 2 5 3" xfId="6333" xr:uid="{00000000-0005-0000-0000-0000F90E0000}"/>
    <cellStyle name="Normal 2 4 2 3 3 2 5 3 2" xfId="15659" xr:uid="{61A7BFE5-1F5B-42EE-838C-195D6C5C6994}"/>
    <cellStyle name="Normal 2 4 2 3 3 2 5 4" xfId="11442" xr:uid="{FE6FDD8A-4235-427D-9860-83DAEF3E2881}"/>
    <cellStyle name="Normal 2 4 2 3 3 2 6" xfId="2463" xr:uid="{00000000-0005-0000-0000-0000FA0E0000}"/>
    <cellStyle name="Normal 2 4 2 3 3 2 6 2" xfId="6746" xr:uid="{00000000-0005-0000-0000-0000FB0E0000}"/>
    <cellStyle name="Normal 2 4 2 3 3 2 6 2 2" xfId="16072" xr:uid="{18809424-8E75-4BCA-B5D1-F6303D829012}"/>
    <cellStyle name="Normal 2 4 2 3 3 2 6 3" xfId="11855" xr:uid="{ABD2D7F1-DC5C-4B17-9303-6CF93515D0E1}"/>
    <cellStyle name="Normal 2 4 2 3 3 2 7" xfId="4680" xr:uid="{00000000-0005-0000-0000-0000FC0E0000}"/>
    <cellStyle name="Normal 2 4 2 3 3 2 7 2" xfId="14006" xr:uid="{E48F0491-A440-4DC5-B317-34DB5E3BC44E}"/>
    <cellStyle name="Normal 2 4 2 3 3 2 8" xfId="9098" xr:uid="{15335B31-FFDD-479D-88EC-FAB83DC4E6EC}"/>
    <cellStyle name="Normal 2 4 2 3 3 2 9" xfId="9789" xr:uid="{BF73D2B4-4C87-4769-8ED0-971CD2D54C13}"/>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CF8C9227-0672-40AA-8FFD-F954896A6013}"/>
    <cellStyle name="Normal 2 4 2 3 3 3 2 3" xfId="12347" xr:uid="{D85D621C-4B9D-486A-B40C-FCDC1AA225C0}"/>
    <cellStyle name="Normal 2 4 2 3 3 3 3" xfId="5093" xr:uid="{00000000-0005-0000-0000-0000000F0000}"/>
    <cellStyle name="Normal 2 4 2 3 3 3 3 2" xfId="14419" xr:uid="{8EC52A10-35BE-4B24-A2A3-90664CCF7E1C}"/>
    <cellStyle name="Normal 2 4 2 3 3 3 4" xfId="9316" xr:uid="{C8C83D09-5A3A-4C90-8A04-9D7CD8C85B11}"/>
    <cellStyle name="Normal 2 4 2 3 3 3 5" xfId="10202" xr:uid="{57D08270-9266-4A7E-930A-C3A476747A6C}"/>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65083BCC-24E7-4485-9A27-0C2D84DBA5EF}"/>
    <cellStyle name="Normal 2 4 2 3 3 4 2 3" xfId="12760" xr:uid="{E93EC583-FF8D-45A9-8417-E51A328222D5}"/>
    <cellStyle name="Normal 2 4 2 3 3 4 3" xfId="5506" xr:uid="{00000000-0005-0000-0000-0000040F0000}"/>
    <cellStyle name="Normal 2 4 2 3 3 4 3 2" xfId="14832" xr:uid="{56B7CF37-DF57-438F-9C57-505A426A6070}"/>
    <cellStyle name="Normal 2 4 2 3 3 4 4" xfId="10615" xr:uid="{6709193A-D58D-4E54-A845-028F35BD089A}"/>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0BD183D0-9E2F-4989-A2B4-A07898AA80BD}"/>
    <cellStyle name="Normal 2 4 2 3 3 5 2 3" xfId="13173" xr:uid="{6CB3D036-6B51-4993-80A8-4C797861D716}"/>
    <cellStyle name="Normal 2 4 2 3 3 5 3" xfId="5919" xr:uid="{00000000-0005-0000-0000-0000080F0000}"/>
    <cellStyle name="Normal 2 4 2 3 3 5 3 2" xfId="15245" xr:uid="{59F77F08-289D-45B2-BB89-A5C3C07160E8}"/>
    <cellStyle name="Normal 2 4 2 3 3 5 4" xfId="11028" xr:uid="{8A56CAA0-2263-4973-8037-9604D41126B6}"/>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8ADE4D02-010F-4A22-A181-DFABFD19EE31}"/>
    <cellStyle name="Normal 2 4 2 3 3 6 2 3" xfId="13586" xr:uid="{BE93F1AB-76ED-4D16-8653-CB7BA33AB03E}"/>
    <cellStyle name="Normal 2 4 2 3 3 6 3" xfId="6332" xr:uid="{00000000-0005-0000-0000-00000C0F0000}"/>
    <cellStyle name="Normal 2 4 2 3 3 6 3 2" xfId="15658" xr:uid="{A901FC1F-41A6-41A7-9A72-723AC5EDD930}"/>
    <cellStyle name="Normal 2 4 2 3 3 6 4" xfId="11441" xr:uid="{DA394932-9F60-4AD1-B9CE-756B04651C1F}"/>
    <cellStyle name="Normal 2 4 2 3 3 7" xfId="2462" xr:uid="{00000000-0005-0000-0000-00000D0F0000}"/>
    <cellStyle name="Normal 2 4 2 3 3 7 2" xfId="6745" xr:uid="{00000000-0005-0000-0000-00000E0F0000}"/>
    <cellStyle name="Normal 2 4 2 3 3 7 2 2" xfId="16071" xr:uid="{5BAF60D7-3B22-473C-90DB-B5046D45CE7B}"/>
    <cellStyle name="Normal 2 4 2 3 3 7 3" xfId="11854" xr:uid="{88460C42-89EE-482C-BEB8-10E477921FC7}"/>
    <cellStyle name="Normal 2 4 2 3 3 8" xfId="4679" xr:uid="{00000000-0005-0000-0000-00000F0F0000}"/>
    <cellStyle name="Normal 2 4 2 3 3 8 2" xfId="14005" xr:uid="{00A7A7E4-AAAC-4811-AD85-5ADF0BDC1A41}"/>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D99E9522-8DDA-46B0-9454-F1EE7EAD11CE}"/>
    <cellStyle name="Normal 2 4 2 3 4 2 2 3" xfId="12349" xr:uid="{CC3119FC-8DC0-4680-B52E-B1E67356ACE6}"/>
    <cellStyle name="Normal 2 4 2 3 4 2 3" xfId="5095" xr:uid="{00000000-0005-0000-0000-0000140F0000}"/>
    <cellStyle name="Normal 2 4 2 3 4 2 3 2" xfId="14421" xr:uid="{C52286D7-DD04-4327-BD05-EA387BA325C9}"/>
    <cellStyle name="Normal 2 4 2 3 4 2 4" xfId="9420" xr:uid="{49E252B3-99BC-416A-A0CB-FE2641ECFDE3}"/>
    <cellStyle name="Normal 2 4 2 3 4 2 5" xfId="10204" xr:uid="{6398B567-B9B0-4992-B44D-A0B44DEFB20A}"/>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3E940A67-2814-41D2-AA1F-B7099AD1A5F9}"/>
    <cellStyle name="Normal 2 4 2 3 4 3 2 3" xfId="12762" xr:uid="{BEA1377E-E620-4D7B-B683-E29E8AB6EAAF}"/>
    <cellStyle name="Normal 2 4 2 3 4 3 3" xfId="5508" xr:uid="{00000000-0005-0000-0000-0000180F0000}"/>
    <cellStyle name="Normal 2 4 2 3 4 3 3 2" xfId="14834" xr:uid="{33E16B61-CB8A-464A-BF56-CA69E93043D4}"/>
    <cellStyle name="Normal 2 4 2 3 4 3 4" xfId="10617" xr:uid="{541646C1-355E-4E9C-9D33-DE2488756447}"/>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633D4700-320C-4120-A2C7-A59A1CF3B138}"/>
    <cellStyle name="Normal 2 4 2 3 4 4 2 3" xfId="13175" xr:uid="{2EE7B08A-AE56-462E-B108-1B48491BDBE1}"/>
    <cellStyle name="Normal 2 4 2 3 4 4 3" xfId="5921" xr:uid="{00000000-0005-0000-0000-00001C0F0000}"/>
    <cellStyle name="Normal 2 4 2 3 4 4 3 2" xfId="15247" xr:uid="{87978B1B-CB2E-452B-B220-52C52A532275}"/>
    <cellStyle name="Normal 2 4 2 3 4 4 4" xfId="11030" xr:uid="{A5EA313B-3540-43BF-A008-B0C94A559324}"/>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5155F15C-150B-4D84-A6D8-8EC7E9E2A8DC}"/>
    <cellStyle name="Normal 2 4 2 3 4 5 2 3" xfId="13588" xr:uid="{572A3F5F-9081-4C6E-847C-8AAFFF6E240C}"/>
    <cellStyle name="Normal 2 4 2 3 4 5 3" xfId="6334" xr:uid="{00000000-0005-0000-0000-0000200F0000}"/>
    <cellStyle name="Normal 2 4 2 3 4 5 3 2" xfId="15660" xr:uid="{E74DDFBD-AABE-4020-86B6-F3486D9E2FA8}"/>
    <cellStyle name="Normal 2 4 2 3 4 5 4" xfId="11443" xr:uid="{C4004D59-B4F7-42AD-A01D-DDA5FC7F909A}"/>
    <cellStyle name="Normal 2 4 2 3 4 6" xfId="2464" xr:uid="{00000000-0005-0000-0000-0000210F0000}"/>
    <cellStyle name="Normal 2 4 2 3 4 6 2" xfId="6747" xr:uid="{00000000-0005-0000-0000-0000220F0000}"/>
    <cellStyle name="Normal 2 4 2 3 4 6 2 2" xfId="16073" xr:uid="{2C47622B-5E3E-4F35-933D-CD29379C93D1}"/>
    <cellStyle name="Normal 2 4 2 3 4 6 3" xfId="11856" xr:uid="{04F9A62F-1CDC-4F92-9054-D109C1F53BDF}"/>
    <cellStyle name="Normal 2 4 2 3 4 7" xfId="4681" xr:uid="{00000000-0005-0000-0000-0000230F0000}"/>
    <cellStyle name="Normal 2 4 2 3 4 7 2" xfId="14007" xr:uid="{0590ED90-F574-4229-8436-61A1FB46F206}"/>
    <cellStyle name="Normal 2 4 2 3 4 8" xfId="8995" xr:uid="{EEE25A27-4C18-4948-8341-FF27707A7A86}"/>
    <cellStyle name="Normal 2 4 2 3 4 9" xfId="9790" xr:uid="{FD96A79C-D56B-4E2D-A093-1B196B9537D6}"/>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CD2D9D94-EC4E-445F-80C0-43F32B74B1E5}"/>
    <cellStyle name="Normal 2 4 2 3 5 2 3" xfId="12342" xr:uid="{74F70527-6328-425C-BFAE-DDC4D207170A}"/>
    <cellStyle name="Normal 2 4 2 3 5 3" xfId="5088" xr:uid="{00000000-0005-0000-0000-0000270F0000}"/>
    <cellStyle name="Normal 2 4 2 3 5 3 2" xfId="14414" xr:uid="{8EB018DC-543D-4F0F-949A-DB174E9FAD6B}"/>
    <cellStyle name="Normal 2 4 2 3 5 4" xfId="9212" xr:uid="{39F1BF9F-C79C-4226-B2D8-665EAA6F3686}"/>
    <cellStyle name="Normal 2 4 2 3 5 5" xfId="10197" xr:uid="{D378D1C6-D2AB-476C-ABAA-7796CE3C7E0D}"/>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A5670959-E45B-4F86-8C62-35469A64C18C}"/>
    <cellStyle name="Normal 2 4 2 3 6 2 3" xfId="12755" xr:uid="{854D60F3-4EEE-47E8-BE5E-E7F7FA775AD4}"/>
    <cellStyle name="Normal 2 4 2 3 6 3" xfId="5501" xr:uid="{00000000-0005-0000-0000-00002B0F0000}"/>
    <cellStyle name="Normal 2 4 2 3 6 3 2" xfId="14827" xr:uid="{D1391745-0BB9-4A54-ADBC-D8385D3D60C6}"/>
    <cellStyle name="Normal 2 4 2 3 6 4" xfId="10610" xr:uid="{97FDF4DC-A688-40F7-B267-97D7A682CA07}"/>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592EC43E-9799-4671-BDAD-A718663DAEF0}"/>
    <cellStyle name="Normal 2 4 2 3 7 2 3" xfId="13168" xr:uid="{6D715D5E-D141-4B20-86DC-546F12E4C4C3}"/>
    <cellStyle name="Normal 2 4 2 3 7 3" xfId="5914" xr:uid="{00000000-0005-0000-0000-00002F0F0000}"/>
    <cellStyle name="Normal 2 4 2 3 7 3 2" xfId="15240" xr:uid="{CD9F132A-5283-47F8-B148-7CCB37A6E25F}"/>
    <cellStyle name="Normal 2 4 2 3 7 4" xfId="11023" xr:uid="{01F455F7-2A33-440C-9672-8FD48C6F0729}"/>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1967906C-3EB6-4419-9C0D-1D57EB506587}"/>
    <cellStyle name="Normal 2 4 2 3 8 2 3" xfId="13581" xr:uid="{640EC0C0-C19F-4E3D-8175-7FDE695D470F}"/>
    <cellStyle name="Normal 2 4 2 3 8 3" xfId="6327" xr:uid="{00000000-0005-0000-0000-0000330F0000}"/>
    <cellStyle name="Normal 2 4 2 3 8 3 2" xfId="15653" xr:uid="{F71C1FC1-DE9C-4A0C-8558-C7393BA83658}"/>
    <cellStyle name="Normal 2 4 2 3 8 4" xfId="11436" xr:uid="{865FB624-081A-427F-B4D0-5E2225CE2250}"/>
    <cellStyle name="Normal 2 4 2 3 9" xfId="2457" xr:uid="{00000000-0005-0000-0000-0000340F0000}"/>
    <cellStyle name="Normal 2 4 2 3 9 2" xfId="6740" xr:uid="{00000000-0005-0000-0000-0000350F0000}"/>
    <cellStyle name="Normal 2 4 2 3 9 2 2" xfId="16066" xr:uid="{1DA49787-F8C3-4511-BD78-EE1565C1C4BD}"/>
    <cellStyle name="Normal 2 4 2 3 9 3" xfId="11849" xr:uid="{34DF1F95-DFB9-4C40-836E-D05AC378E741}"/>
    <cellStyle name="Normal 2 4 2 4" xfId="289" xr:uid="{00000000-0005-0000-0000-0000360F0000}"/>
    <cellStyle name="Normal 2 4 2 4 10" xfId="8812" xr:uid="{C2E08BA7-2068-4F74-AFE2-E0AED0B82FE2}"/>
    <cellStyle name="Normal 2 4 2 4 11" xfId="9791" xr:uid="{F8373CB2-29DA-4E63-99ED-FAD05680194C}"/>
    <cellStyle name="Normal 2 4 2 4 2" xfId="290" xr:uid="{00000000-0005-0000-0000-0000370F0000}"/>
    <cellStyle name="Normal 2 4 2 4 2 10" xfId="9792" xr:uid="{8A6416C1-2EC3-4B72-8321-A05C100CF0A6}"/>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0DAC041A-78C1-4162-A8E3-9533A53B14C7}"/>
    <cellStyle name="Normal 2 4 2 4 2 2 2 2 3" xfId="12352" xr:uid="{2AE6EDE4-765E-4EAF-8481-0611DEA516F1}"/>
    <cellStyle name="Normal 2 4 2 4 2 2 2 3" xfId="5098" xr:uid="{00000000-0005-0000-0000-00003C0F0000}"/>
    <cellStyle name="Normal 2 4 2 4 2 2 2 3 2" xfId="14424" xr:uid="{86D8A917-063E-4F5F-A615-9A2760BBDE81}"/>
    <cellStyle name="Normal 2 4 2 4 2 2 2 4" xfId="9547" xr:uid="{F8909421-8B16-4168-8B85-A5523C430C3C}"/>
    <cellStyle name="Normal 2 4 2 4 2 2 2 5" xfId="10207" xr:uid="{60E54ED4-A710-4B34-9B9F-863A2B813CAE}"/>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90CA6583-7C5E-4FDD-A69E-630C454C7979}"/>
    <cellStyle name="Normal 2 4 2 4 2 2 3 2 3" xfId="12765" xr:uid="{49E37553-3E76-4E65-BC84-D900C45807C8}"/>
    <cellStyle name="Normal 2 4 2 4 2 2 3 3" xfId="5511" xr:uid="{00000000-0005-0000-0000-0000400F0000}"/>
    <cellStyle name="Normal 2 4 2 4 2 2 3 3 2" xfId="14837" xr:uid="{C81BD161-F2C6-483E-A830-9F0B7EF9849A}"/>
    <cellStyle name="Normal 2 4 2 4 2 2 3 4" xfId="10620" xr:uid="{F36D6913-4348-435A-AD2E-C5EA137316F1}"/>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4C53022A-FB05-4CC1-A787-71F39F4400FC}"/>
    <cellStyle name="Normal 2 4 2 4 2 2 4 2 3" xfId="13178" xr:uid="{5499CA9A-0318-4E33-81D9-104EE320131C}"/>
    <cellStyle name="Normal 2 4 2 4 2 2 4 3" xfId="5924" xr:uid="{00000000-0005-0000-0000-0000440F0000}"/>
    <cellStyle name="Normal 2 4 2 4 2 2 4 3 2" xfId="15250" xr:uid="{07E9B4C3-9B56-4CDB-934B-F5A38D75AA36}"/>
    <cellStyle name="Normal 2 4 2 4 2 2 4 4" xfId="11033" xr:uid="{C60DBA9C-1133-4D08-B7BD-A2F8BAA91D8D}"/>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55DC1669-1412-4A12-A050-665C8DB6EFF1}"/>
    <cellStyle name="Normal 2 4 2 4 2 2 5 2 3" xfId="13591" xr:uid="{B25899BA-9794-4D01-B092-DF1EDC133D79}"/>
    <cellStyle name="Normal 2 4 2 4 2 2 5 3" xfId="6337" xr:uid="{00000000-0005-0000-0000-0000480F0000}"/>
    <cellStyle name="Normal 2 4 2 4 2 2 5 3 2" xfId="15663" xr:uid="{538E3F11-F9F4-4385-8A87-1BA0276664A2}"/>
    <cellStyle name="Normal 2 4 2 4 2 2 5 4" xfId="11446" xr:uid="{9B1DBE11-F69D-4539-851E-70E2431673A9}"/>
    <cellStyle name="Normal 2 4 2 4 2 2 6" xfId="2467" xr:uid="{00000000-0005-0000-0000-0000490F0000}"/>
    <cellStyle name="Normal 2 4 2 4 2 2 6 2" xfId="6750" xr:uid="{00000000-0005-0000-0000-00004A0F0000}"/>
    <cellStyle name="Normal 2 4 2 4 2 2 6 2 2" xfId="16076" xr:uid="{39D125EB-5B6A-4667-B253-AD689A2A5E2E}"/>
    <cellStyle name="Normal 2 4 2 4 2 2 6 3" xfId="11859" xr:uid="{61EFEA36-3E5C-41B1-93A5-57754A11C3E3}"/>
    <cellStyle name="Normal 2 4 2 4 2 2 7" xfId="4684" xr:uid="{00000000-0005-0000-0000-00004B0F0000}"/>
    <cellStyle name="Normal 2 4 2 4 2 2 7 2" xfId="14010" xr:uid="{97C7316B-1079-42D0-A259-0E504FC83773}"/>
    <cellStyle name="Normal 2 4 2 4 2 2 8" xfId="9122" xr:uid="{861CB008-611F-4F3F-9D09-5BCA5A4CB255}"/>
    <cellStyle name="Normal 2 4 2 4 2 2 9" xfId="9793" xr:uid="{4E54238B-95E8-48D5-B0B7-0FE1EFD04DDC}"/>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0849DC05-128D-49AD-8FB3-5AAC8F8F6950}"/>
    <cellStyle name="Normal 2 4 2 4 2 3 2 3" xfId="12351" xr:uid="{6C79F825-3951-40EF-A77D-D20412F9D8E0}"/>
    <cellStyle name="Normal 2 4 2 4 2 3 3" xfId="5097" xr:uid="{00000000-0005-0000-0000-00004F0F0000}"/>
    <cellStyle name="Normal 2 4 2 4 2 3 3 2" xfId="14423" xr:uid="{7BF9BACE-1962-4295-9592-EAB2838773CE}"/>
    <cellStyle name="Normal 2 4 2 4 2 3 4" xfId="9340" xr:uid="{2D1F2F91-F6E8-42AC-98D0-B8667E0ECE37}"/>
    <cellStyle name="Normal 2 4 2 4 2 3 5" xfId="10206" xr:uid="{1118342E-776E-4628-AC72-EA2621179CF6}"/>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B7294394-99F9-4A5C-853F-B4E0260324A5}"/>
    <cellStyle name="Normal 2 4 2 4 2 4 2 3" xfId="12764" xr:uid="{78929FFA-D96F-4DCF-9E1C-035C871AA25B}"/>
    <cellStyle name="Normal 2 4 2 4 2 4 3" xfId="5510" xr:uid="{00000000-0005-0000-0000-0000530F0000}"/>
    <cellStyle name="Normal 2 4 2 4 2 4 3 2" xfId="14836" xr:uid="{EAA979EB-D1B3-4267-9BEB-6F1277DA604A}"/>
    <cellStyle name="Normal 2 4 2 4 2 4 4" xfId="10619" xr:uid="{90E46406-8425-40EE-8A9E-DED3AD83A6AA}"/>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BBA37FBB-F022-4EDD-8244-E48559BD585D}"/>
    <cellStyle name="Normal 2 4 2 4 2 5 2 3" xfId="13177" xr:uid="{74A53298-E51F-40D4-BE73-5519D964820D}"/>
    <cellStyle name="Normal 2 4 2 4 2 5 3" xfId="5923" xr:uid="{00000000-0005-0000-0000-0000570F0000}"/>
    <cellStyle name="Normal 2 4 2 4 2 5 3 2" xfId="15249" xr:uid="{283A6948-1199-46E1-86BB-5A12EF6B47B3}"/>
    <cellStyle name="Normal 2 4 2 4 2 5 4" xfId="11032" xr:uid="{8F8B3988-C30E-4910-86C4-04DC16324D18}"/>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FE3DFCA0-1638-4C1E-92CF-E9AC14AFBC15}"/>
    <cellStyle name="Normal 2 4 2 4 2 6 2 3" xfId="13590" xr:uid="{5584DBEC-6623-48AE-934C-E3643DE47BAC}"/>
    <cellStyle name="Normal 2 4 2 4 2 6 3" xfId="6336" xr:uid="{00000000-0005-0000-0000-00005B0F0000}"/>
    <cellStyle name="Normal 2 4 2 4 2 6 3 2" xfId="15662" xr:uid="{2E6D040C-FAC4-4084-A77D-FF896F29EB7D}"/>
    <cellStyle name="Normal 2 4 2 4 2 6 4" xfId="11445" xr:uid="{2317D6EA-10F8-4AFB-937A-5D6723CB08D3}"/>
    <cellStyle name="Normal 2 4 2 4 2 7" xfId="2466" xr:uid="{00000000-0005-0000-0000-00005C0F0000}"/>
    <cellStyle name="Normal 2 4 2 4 2 7 2" xfId="6749" xr:uid="{00000000-0005-0000-0000-00005D0F0000}"/>
    <cellStyle name="Normal 2 4 2 4 2 7 2 2" xfId="16075" xr:uid="{21EF1B55-4E0E-4ED6-9CDC-F80DD93FCA24}"/>
    <cellStyle name="Normal 2 4 2 4 2 7 3" xfId="11858" xr:uid="{F3EEF8C9-FE63-4CE2-8138-A389BE11E6A7}"/>
    <cellStyle name="Normal 2 4 2 4 2 8" xfId="4683" xr:uid="{00000000-0005-0000-0000-00005E0F0000}"/>
    <cellStyle name="Normal 2 4 2 4 2 8 2" xfId="14009" xr:uid="{40FF9BF0-72B1-4158-BA4F-32EDC43FECBA}"/>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C527113B-C615-4B68-AC1C-82F397B7571A}"/>
    <cellStyle name="Normal 2 4 2 4 3 2 2 3" xfId="12353" xr:uid="{609077B5-58A1-4BB6-9E3C-CB49B35108EB}"/>
    <cellStyle name="Normal 2 4 2 4 3 2 3" xfId="5099" xr:uid="{00000000-0005-0000-0000-0000630F0000}"/>
    <cellStyle name="Normal 2 4 2 4 3 2 3 2" xfId="14425" xr:uid="{1FE13C80-7E44-4B22-98B7-DBAD29268CF5}"/>
    <cellStyle name="Normal 2 4 2 4 3 2 4" xfId="9444" xr:uid="{807939DF-E7C0-4015-A3D8-AE9E56020172}"/>
    <cellStyle name="Normal 2 4 2 4 3 2 5" xfId="10208" xr:uid="{58F3C6BE-DCE9-4939-859D-844C3738FA4A}"/>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433B5E8F-6298-4D67-9B86-14386E48C592}"/>
    <cellStyle name="Normal 2 4 2 4 3 3 2 3" xfId="12766" xr:uid="{CA2AD1E9-9638-46B0-B144-AA7CE43574B8}"/>
    <cellStyle name="Normal 2 4 2 4 3 3 3" xfId="5512" xr:uid="{00000000-0005-0000-0000-0000670F0000}"/>
    <cellStyle name="Normal 2 4 2 4 3 3 3 2" xfId="14838" xr:uid="{F4FBC5D2-1C9D-4926-9119-457BAA84B3DA}"/>
    <cellStyle name="Normal 2 4 2 4 3 3 4" xfId="10621" xr:uid="{47AA9EFA-9559-44F2-AC74-F74CA434B82F}"/>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0624F770-4600-4835-B911-0CB2C8B0D43F}"/>
    <cellStyle name="Normal 2 4 2 4 3 4 2 3" xfId="13179" xr:uid="{C67981A9-0CDB-402D-89F4-0EEC74CE97E5}"/>
    <cellStyle name="Normal 2 4 2 4 3 4 3" xfId="5925" xr:uid="{00000000-0005-0000-0000-00006B0F0000}"/>
    <cellStyle name="Normal 2 4 2 4 3 4 3 2" xfId="15251" xr:uid="{5959C036-2E25-4E66-BE0B-CC3C933B219E}"/>
    <cellStyle name="Normal 2 4 2 4 3 4 4" xfId="11034" xr:uid="{D057DFCE-80CD-4DD1-B74A-3B014F99853A}"/>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FC6CFAC3-CCBD-42F4-A87B-64C48F8DBB87}"/>
    <cellStyle name="Normal 2 4 2 4 3 5 2 3" xfId="13592" xr:uid="{86DDC585-9AF4-4EB2-9757-53FA33804F08}"/>
    <cellStyle name="Normal 2 4 2 4 3 5 3" xfId="6338" xr:uid="{00000000-0005-0000-0000-00006F0F0000}"/>
    <cellStyle name="Normal 2 4 2 4 3 5 3 2" xfId="15664" xr:uid="{106AAEAC-1DEA-4EDC-9BF2-EF2FF6533082}"/>
    <cellStyle name="Normal 2 4 2 4 3 5 4" xfId="11447" xr:uid="{996E6A7B-FE3C-4985-93AC-BB097A86BA81}"/>
    <cellStyle name="Normal 2 4 2 4 3 6" xfId="2468" xr:uid="{00000000-0005-0000-0000-0000700F0000}"/>
    <cellStyle name="Normal 2 4 2 4 3 6 2" xfId="6751" xr:uid="{00000000-0005-0000-0000-0000710F0000}"/>
    <cellStyle name="Normal 2 4 2 4 3 6 2 2" xfId="16077" xr:uid="{5C8CF821-7D80-40E6-95B7-EE6F605F91DA}"/>
    <cellStyle name="Normal 2 4 2 4 3 6 3" xfId="11860" xr:uid="{B69B70CB-78AF-4C7E-822A-4467A564728C}"/>
    <cellStyle name="Normal 2 4 2 4 3 7" xfId="4685" xr:uid="{00000000-0005-0000-0000-0000720F0000}"/>
    <cellStyle name="Normal 2 4 2 4 3 7 2" xfId="14011" xr:uid="{4E018C52-D181-4E1E-AC8F-D1D4C9047C5E}"/>
    <cellStyle name="Normal 2 4 2 4 3 8" xfId="9019" xr:uid="{1F22810F-FF7D-4FF4-861A-F2BA8F253428}"/>
    <cellStyle name="Normal 2 4 2 4 3 9" xfId="9794" xr:uid="{A8D6EC42-4C23-4701-8E80-B24B95FE6FAD}"/>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48F930E2-5069-483A-A090-4C48D2A6D62E}"/>
    <cellStyle name="Normal 2 4 2 4 4 2 3" xfId="12350" xr:uid="{103B0D7B-3EBB-45E5-B3F0-1544BD46FB72}"/>
    <cellStyle name="Normal 2 4 2 4 4 3" xfId="5096" xr:uid="{00000000-0005-0000-0000-0000760F0000}"/>
    <cellStyle name="Normal 2 4 2 4 4 3 2" xfId="14422" xr:uid="{57D950F6-FD84-4E9D-B2ED-C7187FA181B6}"/>
    <cellStyle name="Normal 2 4 2 4 4 4" xfId="9237" xr:uid="{FF4B133D-A40B-4895-9E3D-E727B18E66C8}"/>
    <cellStyle name="Normal 2 4 2 4 4 5" xfId="10205" xr:uid="{11272D31-0AC2-4E91-AAD3-45697E83A4F8}"/>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D2586947-1FC7-4246-AFE9-F6F271446E7D}"/>
    <cellStyle name="Normal 2 4 2 4 5 2 3" xfId="12763" xr:uid="{6A2B36CE-213F-482A-8907-7C1EE96E7595}"/>
    <cellStyle name="Normal 2 4 2 4 5 3" xfId="5509" xr:uid="{00000000-0005-0000-0000-00007A0F0000}"/>
    <cellStyle name="Normal 2 4 2 4 5 3 2" xfId="14835" xr:uid="{FF93E425-ED1F-4AC7-A7E3-23DC000DAB0F}"/>
    <cellStyle name="Normal 2 4 2 4 5 4" xfId="10618" xr:uid="{0C8A3F1B-4D28-4FFE-A0DD-1551AFD7AC80}"/>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E6958418-8454-4545-B082-809700D7583B}"/>
    <cellStyle name="Normal 2 4 2 4 6 2 3" xfId="13176" xr:uid="{FDA600B6-0B52-404E-BCCC-D4199B3BBD61}"/>
    <cellStyle name="Normal 2 4 2 4 6 3" xfId="5922" xr:uid="{00000000-0005-0000-0000-00007E0F0000}"/>
    <cellStyle name="Normal 2 4 2 4 6 3 2" xfId="15248" xr:uid="{A19B28AF-C2F1-4351-AAE8-9A382BE6BEF2}"/>
    <cellStyle name="Normal 2 4 2 4 6 4" xfId="11031" xr:uid="{6DC27D89-5450-46C6-8F0D-6ED580960E6B}"/>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3172C06F-8387-41A0-9291-484927A73857}"/>
    <cellStyle name="Normal 2 4 2 4 7 2 3" xfId="13589" xr:uid="{3404FFAF-73E3-471A-9C9A-B0B135D4E326}"/>
    <cellStyle name="Normal 2 4 2 4 7 3" xfId="6335" xr:uid="{00000000-0005-0000-0000-0000820F0000}"/>
    <cellStyle name="Normal 2 4 2 4 7 3 2" xfId="15661" xr:uid="{362C78BC-84E5-4761-B040-CF7C3F9C8814}"/>
    <cellStyle name="Normal 2 4 2 4 7 4" xfId="11444" xr:uid="{F6B6939F-895A-4F84-84B5-2D9BA7D6E064}"/>
    <cellStyle name="Normal 2 4 2 4 8" xfId="2465" xr:uid="{00000000-0005-0000-0000-0000830F0000}"/>
    <cellStyle name="Normal 2 4 2 4 8 2" xfId="6748" xr:uid="{00000000-0005-0000-0000-0000840F0000}"/>
    <cellStyle name="Normal 2 4 2 4 8 2 2" xfId="16074" xr:uid="{816580E2-6FBC-48A4-BE0E-5EB604897566}"/>
    <cellStyle name="Normal 2 4 2 4 8 3" xfId="11857" xr:uid="{C7F8320A-E144-4906-823E-C1C0D1ECEAEC}"/>
    <cellStyle name="Normal 2 4 2 4 9" xfId="4682" xr:uid="{00000000-0005-0000-0000-0000850F0000}"/>
    <cellStyle name="Normal 2 4 2 4 9 2" xfId="14008" xr:uid="{AAF1A6C4-C3E1-4431-B74A-0CFA86ED59ED}"/>
    <cellStyle name="Normal 2 4 2 5" xfId="293" xr:uid="{00000000-0005-0000-0000-0000860F0000}"/>
    <cellStyle name="Normal 2 4 2 5 10" xfId="9795" xr:uid="{32FBCBFF-1E63-43DC-955A-A21B9C6AE79C}"/>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8B3008EB-20DB-41EB-9AFE-364C30ABAC36}"/>
    <cellStyle name="Normal 2 4 2 5 2 2 2 3" xfId="12355" xr:uid="{E48299BB-6026-46F2-837A-532E44097B1D}"/>
    <cellStyle name="Normal 2 4 2 5 2 2 3" xfId="5101" xr:uid="{00000000-0005-0000-0000-00008B0F0000}"/>
    <cellStyle name="Normal 2 4 2 5 2 2 3 2" xfId="14427" xr:uid="{E7EA2C9A-234C-40B8-9937-DB5DDAF5590F}"/>
    <cellStyle name="Normal 2 4 2 5 2 2 4" xfId="9492" xr:uid="{07DC9204-2F52-408E-80EE-617A106DD9FD}"/>
    <cellStyle name="Normal 2 4 2 5 2 2 5" xfId="10210" xr:uid="{CA13479C-CF29-40E4-B22B-95D79CC022F7}"/>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287D1AE1-135B-48FC-B5FF-5E1994008529}"/>
    <cellStyle name="Normal 2 4 2 5 2 3 2 3" xfId="12768" xr:uid="{2E61363F-3CDF-4D43-84CA-D792B2D0FC89}"/>
    <cellStyle name="Normal 2 4 2 5 2 3 3" xfId="5514" xr:uid="{00000000-0005-0000-0000-00008F0F0000}"/>
    <cellStyle name="Normal 2 4 2 5 2 3 3 2" xfId="14840" xr:uid="{7A747130-E756-4F5D-BB09-BC18744C4006}"/>
    <cellStyle name="Normal 2 4 2 5 2 3 4" xfId="10623" xr:uid="{05328622-DBEC-4FA0-8FC1-29599640DA0E}"/>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89564916-7251-43D4-877E-DA75C6F7F9CD}"/>
    <cellStyle name="Normal 2 4 2 5 2 4 2 3" xfId="13181" xr:uid="{A419ADB9-8912-4EC3-9A62-097FBA7B9A24}"/>
    <cellStyle name="Normal 2 4 2 5 2 4 3" xfId="5927" xr:uid="{00000000-0005-0000-0000-0000930F0000}"/>
    <cellStyle name="Normal 2 4 2 5 2 4 3 2" xfId="15253" xr:uid="{D4ABD405-60D9-4529-89EF-649E0833722F}"/>
    <cellStyle name="Normal 2 4 2 5 2 4 4" xfId="11036" xr:uid="{2E4872C0-D872-4C88-9D08-66E1143914C5}"/>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DAF1813B-2079-4CBB-81E7-2931320F92EC}"/>
    <cellStyle name="Normal 2 4 2 5 2 5 2 3" xfId="13594" xr:uid="{4F1E07C7-FE44-44D7-AD39-04C7E3CAF6ED}"/>
    <cellStyle name="Normal 2 4 2 5 2 5 3" xfId="6340" xr:uid="{00000000-0005-0000-0000-0000970F0000}"/>
    <cellStyle name="Normal 2 4 2 5 2 5 3 2" xfId="15666" xr:uid="{D2535978-8CD9-4569-8B9F-49EDBE15A539}"/>
    <cellStyle name="Normal 2 4 2 5 2 5 4" xfId="11449" xr:uid="{39AB10FE-224A-4FA3-B1C9-D4D10E0291FE}"/>
    <cellStyle name="Normal 2 4 2 5 2 6" xfId="2470" xr:uid="{00000000-0005-0000-0000-0000980F0000}"/>
    <cellStyle name="Normal 2 4 2 5 2 6 2" xfId="6753" xr:uid="{00000000-0005-0000-0000-0000990F0000}"/>
    <cellStyle name="Normal 2 4 2 5 2 6 2 2" xfId="16079" xr:uid="{5A567AC6-9154-4164-BA13-DBF4BE6BB383}"/>
    <cellStyle name="Normal 2 4 2 5 2 6 3" xfId="11862" xr:uid="{53169AD8-7317-47D3-90F7-32DE71BD7994}"/>
    <cellStyle name="Normal 2 4 2 5 2 7" xfId="4687" xr:uid="{00000000-0005-0000-0000-00009A0F0000}"/>
    <cellStyle name="Normal 2 4 2 5 2 7 2" xfId="14013" xr:uid="{6E45C15A-F4AB-4D67-BA8B-1B1E4F65D9B4}"/>
    <cellStyle name="Normal 2 4 2 5 2 8" xfId="9067" xr:uid="{89D5CB5A-ADE0-44B8-BC1E-FDE984B579C9}"/>
    <cellStyle name="Normal 2 4 2 5 2 9" xfId="9796" xr:uid="{BE9DD8A7-85A0-4DE5-B354-4526DF753486}"/>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EF515601-C740-441E-A959-2A8CD764E51A}"/>
    <cellStyle name="Normal 2 4 2 5 3 2 3" xfId="12354" xr:uid="{219445E2-69FA-4004-852A-D5A954F590E0}"/>
    <cellStyle name="Normal 2 4 2 5 3 3" xfId="5100" xr:uid="{00000000-0005-0000-0000-00009E0F0000}"/>
    <cellStyle name="Normal 2 4 2 5 3 3 2" xfId="14426" xr:uid="{E91F3123-2BC9-4740-9FCD-5CBEC3112C54}"/>
    <cellStyle name="Normal 2 4 2 5 3 4" xfId="9285" xr:uid="{5DA39FB9-904E-46D3-8E24-58BF2F19DA5B}"/>
    <cellStyle name="Normal 2 4 2 5 3 5" xfId="10209" xr:uid="{BB5D6925-A29D-483F-A8D0-9B27401ABE19}"/>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082B803E-A39C-41D7-B302-6DF735677193}"/>
    <cellStyle name="Normal 2 4 2 5 4 2 3" xfId="12767" xr:uid="{51533FDD-D44E-4DA5-A773-C618ED6B6024}"/>
    <cellStyle name="Normal 2 4 2 5 4 3" xfId="5513" xr:uid="{00000000-0005-0000-0000-0000A20F0000}"/>
    <cellStyle name="Normal 2 4 2 5 4 3 2" xfId="14839" xr:uid="{4E54DBC4-3860-4765-98DB-25B599194B88}"/>
    <cellStyle name="Normal 2 4 2 5 4 4" xfId="10622" xr:uid="{F85F0ECE-76A6-4837-954D-57EAAD422EE8}"/>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3D3C5D13-0CEC-4098-8D32-616CB2ECD52E}"/>
    <cellStyle name="Normal 2 4 2 5 5 2 3" xfId="13180" xr:uid="{0253AC8C-AAA7-4694-ADCE-47E0700D1476}"/>
    <cellStyle name="Normal 2 4 2 5 5 3" xfId="5926" xr:uid="{00000000-0005-0000-0000-0000A60F0000}"/>
    <cellStyle name="Normal 2 4 2 5 5 3 2" xfId="15252" xr:uid="{1155EE3C-7CAD-40A7-AAD9-0DABA0B22B3E}"/>
    <cellStyle name="Normal 2 4 2 5 5 4" xfId="11035" xr:uid="{782CB14B-50A7-4757-AFF0-9C7CB090FBCA}"/>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2EB7583F-E75F-4351-9C39-120662FD11DD}"/>
    <cellStyle name="Normal 2 4 2 5 6 2 3" xfId="13593" xr:uid="{AE46B33D-97EB-44A7-8DD5-76D3A72AC2DB}"/>
    <cellStyle name="Normal 2 4 2 5 6 3" xfId="6339" xr:uid="{00000000-0005-0000-0000-0000AA0F0000}"/>
    <cellStyle name="Normal 2 4 2 5 6 3 2" xfId="15665" xr:uid="{7C7A938F-81B8-4390-B2E2-35DA0E8B9299}"/>
    <cellStyle name="Normal 2 4 2 5 6 4" xfId="11448" xr:uid="{D2873F3C-8767-4866-A3A7-80F3CB65B1A2}"/>
    <cellStyle name="Normal 2 4 2 5 7" xfId="2469" xr:uid="{00000000-0005-0000-0000-0000AB0F0000}"/>
    <cellStyle name="Normal 2 4 2 5 7 2" xfId="6752" xr:uid="{00000000-0005-0000-0000-0000AC0F0000}"/>
    <cellStyle name="Normal 2 4 2 5 7 2 2" xfId="16078" xr:uid="{229D7186-AF65-4DB2-8BEC-9127538FFD12}"/>
    <cellStyle name="Normal 2 4 2 5 7 3" xfId="11861" xr:uid="{CCC66F95-3664-4E79-B12F-DD00BDCF42B8}"/>
    <cellStyle name="Normal 2 4 2 5 8" xfId="4686" xr:uid="{00000000-0005-0000-0000-0000AD0F0000}"/>
    <cellStyle name="Normal 2 4 2 5 8 2" xfId="14012" xr:uid="{0724365F-D4B7-4E9C-926C-961CBAD0A9F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0E86407F-F74F-496B-A96E-7AAC7D3EF93F}"/>
    <cellStyle name="Normal 2 4 2 6 2 2 3" xfId="12356" xr:uid="{11B3564A-38E1-4952-ACBC-2626257B2449}"/>
    <cellStyle name="Normal 2 4 2 6 2 3" xfId="5102" xr:uid="{00000000-0005-0000-0000-0000B20F0000}"/>
    <cellStyle name="Normal 2 4 2 6 2 3 2" xfId="14428" xr:uid="{DF3B38F7-AC4F-4019-9272-F9BA2BE41A0D}"/>
    <cellStyle name="Normal 2 4 2 6 2 4" xfId="9401" xr:uid="{C89DD342-23DD-474B-84C5-F9DED42F169B}"/>
    <cellStyle name="Normal 2 4 2 6 2 5" xfId="10211" xr:uid="{1EB20572-67AD-4162-B8D1-F808ADE92273}"/>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4E8C3E9D-ACEB-4FF3-8C75-C8079FC21991}"/>
    <cellStyle name="Normal 2 4 2 6 3 2 3" xfId="12769" xr:uid="{3903C3A8-7EAF-4A1D-B94F-CA2B8CF179A5}"/>
    <cellStyle name="Normal 2 4 2 6 3 3" xfId="5515" xr:uid="{00000000-0005-0000-0000-0000B60F0000}"/>
    <cellStyle name="Normal 2 4 2 6 3 3 2" xfId="14841" xr:uid="{AA5EC07A-3D09-41D9-9231-1B1BD563DE5F}"/>
    <cellStyle name="Normal 2 4 2 6 3 4" xfId="10624" xr:uid="{74ACD5E8-C504-4DB0-9C92-E821877FE748}"/>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76397EFF-7ADF-4BAC-A3EA-0D394054E718}"/>
    <cellStyle name="Normal 2 4 2 6 4 2 3" xfId="13182" xr:uid="{B8470E09-B066-4896-971E-4FA2143A1B53}"/>
    <cellStyle name="Normal 2 4 2 6 4 3" xfId="5928" xr:uid="{00000000-0005-0000-0000-0000BA0F0000}"/>
    <cellStyle name="Normal 2 4 2 6 4 3 2" xfId="15254" xr:uid="{327AA0D0-A7E0-4C2E-83DF-2D224D24BB00}"/>
    <cellStyle name="Normal 2 4 2 6 4 4" xfId="11037" xr:uid="{629FE31E-DEE6-4EEA-9E55-97BAA2D60C1E}"/>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3B517670-95C9-4E5C-8F12-26CC5256EB8A}"/>
    <cellStyle name="Normal 2 4 2 6 5 2 3" xfId="13595" xr:uid="{EE34841F-8EC1-4030-9B4F-E1931953C440}"/>
    <cellStyle name="Normal 2 4 2 6 5 3" xfId="6341" xr:uid="{00000000-0005-0000-0000-0000BE0F0000}"/>
    <cellStyle name="Normal 2 4 2 6 5 3 2" xfId="15667" xr:uid="{F2341D13-07D8-4FE3-A7D7-6085CE6EDA65}"/>
    <cellStyle name="Normal 2 4 2 6 5 4" xfId="11450" xr:uid="{3EFDC65E-9E2F-411C-8BBE-C52E17D560D6}"/>
    <cellStyle name="Normal 2 4 2 6 6" xfId="2471" xr:uid="{00000000-0005-0000-0000-0000BF0F0000}"/>
    <cellStyle name="Normal 2 4 2 6 6 2" xfId="6754" xr:uid="{00000000-0005-0000-0000-0000C00F0000}"/>
    <cellStyle name="Normal 2 4 2 6 6 2 2" xfId="16080" xr:uid="{067B9748-5446-444D-A592-6FD998E4458D}"/>
    <cellStyle name="Normal 2 4 2 6 6 3" xfId="11863" xr:uid="{D5D6961A-2D62-4CE7-ABED-35306402057E}"/>
    <cellStyle name="Normal 2 4 2 6 7" xfId="4688" xr:uid="{00000000-0005-0000-0000-0000C10F0000}"/>
    <cellStyle name="Normal 2 4 2 6 7 2" xfId="14014" xr:uid="{1395D623-A928-4A20-8544-647F54892696}"/>
    <cellStyle name="Normal 2 4 2 6 8" xfId="8976" xr:uid="{6DEAFF8C-68CB-4364-A161-479509F453AE}"/>
    <cellStyle name="Normal 2 4 2 6 9" xfId="9797" xr:uid="{E60D7D1F-9360-48E7-815E-E52ABBEE2789}"/>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C58D10A8-DB5A-453A-B3C3-46318D6B713F}"/>
    <cellStyle name="Normal 2 4 2 7 2 3" xfId="12341" xr:uid="{7029844D-B5E4-4D1B-BB89-A0E3FCADD645}"/>
    <cellStyle name="Normal 2 4 2 7 3" xfId="5087" xr:uid="{00000000-0005-0000-0000-0000C50F0000}"/>
    <cellStyle name="Normal 2 4 2 7 3 2" xfId="14413" xr:uid="{EB108E50-BE57-48CA-8F61-C641F7BDBA84}"/>
    <cellStyle name="Normal 2 4 2 7 4" xfId="9179" xr:uid="{D1C44CED-398E-43B3-AFA3-1E7DC60C5D92}"/>
    <cellStyle name="Normal 2 4 2 7 5" xfId="10196" xr:uid="{C1410BD6-9238-4C60-AD13-E3E62B465356}"/>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9F60EB1E-6634-4495-BB4A-D97F1ECF3B5A}"/>
    <cellStyle name="Normal 2 4 2 8 2 3" xfId="12754" xr:uid="{8299886B-3AE0-40C3-A601-C68B5307D1A3}"/>
    <cellStyle name="Normal 2 4 2 8 3" xfId="5500" xr:uid="{00000000-0005-0000-0000-0000C90F0000}"/>
    <cellStyle name="Normal 2 4 2 8 3 2" xfId="14826" xr:uid="{3FF5480A-3B2D-40DE-BBBB-50D0C6569FEF}"/>
    <cellStyle name="Normal 2 4 2 8 4" xfId="10609" xr:uid="{786CCA49-EF86-4790-ADBD-17C484357DD2}"/>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4DD5D168-9249-4A4A-BCB4-4A1544BF607D}"/>
    <cellStyle name="Normal 2 4 2 9 2 3" xfId="13167" xr:uid="{AA52C8F1-2A46-416A-AB05-7DD32FAC55C9}"/>
    <cellStyle name="Normal 2 4 2 9 3" xfId="5913" xr:uid="{00000000-0005-0000-0000-0000CD0F0000}"/>
    <cellStyle name="Normal 2 4 2 9 3 2" xfId="15239" xr:uid="{390CAE18-6C3B-42FA-BD66-0BBDB0CA6B57}"/>
    <cellStyle name="Normal 2 4 2 9 4" xfId="11022" xr:uid="{87C76F22-8DB0-4030-B28B-291FA26A6081}"/>
    <cellStyle name="Normal 2 4 3" xfId="296" xr:uid="{00000000-0005-0000-0000-0000CE0F0000}"/>
    <cellStyle name="Normal 2 4 3 10" xfId="9798" xr:uid="{76D93BBF-9BCF-453F-ABDC-A31ED08A818E}"/>
    <cellStyle name="Normal 2 4 3 2" xfId="297" xr:uid="{00000000-0005-0000-0000-0000CF0F0000}"/>
    <cellStyle name="Normal 2 4 3 3" xfId="298" xr:uid="{00000000-0005-0000-0000-0000D00F0000}"/>
    <cellStyle name="Normal 2 4 3 3 10" xfId="8814" xr:uid="{F78EFD99-FCC5-4915-ACA3-DFC3FC0D45A5}"/>
    <cellStyle name="Normal 2 4 3 3 11" xfId="9799" xr:uid="{2C3274A5-A276-40C0-BDA4-679C201A2F2A}"/>
    <cellStyle name="Normal 2 4 3 3 2" xfId="299" xr:uid="{00000000-0005-0000-0000-0000D10F0000}"/>
    <cellStyle name="Normal 2 4 3 3 2 10" xfId="9800" xr:uid="{7ED2EF65-3395-48DE-8AAE-A8D855A60F0C}"/>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25E4751A-3FE6-4C28-988B-583D36078DBC}"/>
    <cellStyle name="Normal 2 4 3 3 2 2 2 2 3" xfId="12360" xr:uid="{F95EBEC7-3AC5-403F-B7CB-F8CF7404C7A5}"/>
    <cellStyle name="Normal 2 4 3 3 2 2 2 3" xfId="5106" xr:uid="{00000000-0005-0000-0000-0000D60F0000}"/>
    <cellStyle name="Normal 2 4 3 3 2 2 2 3 2" xfId="14432" xr:uid="{D87990E7-C158-411A-97B7-B65CD81438AF}"/>
    <cellStyle name="Normal 2 4 3 3 2 2 2 4" xfId="9549" xr:uid="{EA88B7BC-E37D-4688-A768-0D7FE5EF9F42}"/>
    <cellStyle name="Normal 2 4 3 3 2 2 2 5" xfId="10215" xr:uid="{568A03E1-1DBD-40F6-AF8A-6E53A6CD300E}"/>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5DDF67F7-D7F8-4ED4-9E08-C3365583EE16}"/>
    <cellStyle name="Normal 2 4 3 3 2 2 3 2 3" xfId="12773" xr:uid="{A7439F2F-85A0-4939-A447-C2F263AA7A66}"/>
    <cellStyle name="Normal 2 4 3 3 2 2 3 3" xfId="5519" xr:uid="{00000000-0005-0000-0000-0000DA0F0000}"/>
    <cellStyle name="Normal 2 4 3 3 2 2 3 3 2" xfId="14845" xr:uid="{C867A983-ECA7-4339-B4E1-39E34597E8A0}"/>
    <cellStyle name="Normal 2 4 3 3 2 2 3 4" xfId="10628" xr:uid="{A4307EBD-A519-4515-ACBC-D17830302468}"/>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35E0B512-34FA-41DD-8714-46D173FF2FBF}"/>
    <cellStyle name="Normal 2 4 3 3 2 2 4 2 3" xfId="13186" xr:uid="{9C13F848-15DB-4B2D-B9C3-B8078A71487D}"/>
    <cellStyle name="Normal 2 4 3 3 2 2 4 3" xfId="5932" xr:uid="{00000000-0005-0000-0000-0000DE0F0000}"/>
    <cellStyle name="Normal 2 4 3 3 2 2 4 3 2" xfId="15258" xr:uid="{99FC3489-EE78-4371-909D-079077854F40}"/>
    <cellStyle name="Normal 2 4 3 3 2 2 4 4" xfId="11041" xr:uid="{D81E92E5-4DA1-4AB3-B5FE-A80B64F56D93}"/>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E28D4F20-E298-4DD4-83F1-F1BCE1F4E573}"/>
    <cellStyle name="Normal 2 4 3 3 2 2 5 2 3" xfId="13599" xr:uid="{23413EED-AB53-4DBC-B0D7-33012A3424EF}"/>
    <cellStyle name="Normal 2 4 3 3 2 2 5 3" xfId="6345" xr:uid="{00000000-0005-0000-0000-0000E20F0000}"/>
    <cellStyle name="Normal 2 4 3 3 2 2 5 3 2" xfId="15671" xr:uid="{637609E0-8A58-4F62-979C-F24F458D2B1E}"/>
    <cellStyle name="Normal 2 4 3 3 2 2 5 4" xfId="11454" xr:uid="{BFEAD732-9D47-4137-A0D6-240ACE20B65B}"/>
    <cellStyle name="Normal 2 4 3 3 2 2 6" xfId="2475" xr:uid="{00000000-0005-0000-0000-0000E30F0000}"/>
    <cellStyle name="Normal 2 4 3 3 2 2 6 2" xfId="6758" xr:uid="{00000000-0005-0000-0000-0000E40F0000}"/>
    <cellStyle name="Normal 2 4 3 3 2 2 6 2 2" xfId="16084" xr:uid="{A7232FFB-2317-4157-B1F5-0D3C836F3184}"/>
    <cellStyle name="Normal 2 4 3 3 2 2 6 3" xfId="11867" xr:uid="{67C1BA80-6CCE-4524-B014-047BC0F6020B}"/>
    <cellStyle name="Normal 2 4 3 3 2 2 7" xfId="4692" xr:uid="{00000000-0005-0000-0000-0000E50F0000}"/>
    <cellStyle name="Normal 2 4 3 3 2 2 7 2" xfId="14018" xr:uid="{EE8FE5E1-B9E4-42E8-B876-CE261E77A573}"/>
    <cellStyle name="Normal 2 4 3 3 2 2 8" xfId="9124" xr:uid="{1FF2B195-09C8-4D7B-A363-E8AF809A669B}"/>
    <cellStyle name="Normal 2 4 3 3 2 2 9" xfId="9801" xr:uid="{C5C97C53-C1BC-44B5-8DE3-7A597023EF1A}"/>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B1B66E1B-3F98-45DF-88CE-B83085DF7601}"/>
    <cellStyle name="Normal 2 4 3 3 2 3 2 3" xfId="12359" xr:uid="{CD8B943F-6D86-4FEF-A8FF-879A8D241502}"/>
    <cellStyle name="Normal 2 4 3 3 2 3 3" xfId="5105" xr:uid="{00000000-0005-0000-0000-0000E90F0000}"/>
    <cellStyle name="Normal 2 4 3 3 2 3 3 2" xfId="14431" xr:uid="{8B123E7F-01E8-43B1-9403-1F5B25427127}"/>
    <cellStyle name="Normal 2 4 3 3 2 3 4" xfId="9342" xr:uid="{41454CF9-47C1-4E8A-868A-8F39341308EB}"/>
    <cellStyle name="Normal 2 4 3 3 2 3 5" xfId="10214" xr:uid="{0F039C9F-5929-4506-BA37-F72B89BB9EE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A3F7F29A-EC2C-4C73-BBC2-25C1F88AD5C9}"/>
    <cellStyle name="Normal 2 4 3 3 2 4 2 3" xfId="12772" xr:uid="{086FEF7E-898A-4F69-BC74-A7885600CFA1}"/>
    <cellStyle name="Normal 2 4 3 3 2 4 3" xfId="5518" xr:uid="{00000000-0005-0000-0000-0000ED0F0000}"/>
    <cellStyle name="Normal 2 4 3 3 2 4 3 2" xfId="14844" xr:uid="{DE410BA3-C1BD-4B61-AD43-E54CDDF8E68F}"/>
    <cellStyle name="Normal 2 4 3 3 2 4 4" xfId="10627" xr:uid="{A5497E79-C4AD-47E0-B5EC-86C48E0A49CF}"/>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5F5ABB0C-7C1A-4E92-95BB-C7F731AB5B53}"/>
    <cellStyle name="Normal 2 4 3 3 2 5 2 3" xfId="13185" xr:uid="{F2D3CF0E-D26E-4895-8E38-0A3D1E321624}"/>
    <cellStyle name="Normal 2 4 3 3 2 5 3" xfId="5931" xr:uid="{00000000-0005-0000-0000-0000F10F0000}"/>
    <cellStyle name="Normal 2 4 3 3 2 5 3 2" xfId="15257" xr:uid="{49CFE983-73D7-4AF8-8A01-55B5E725DD85}"/>
    <cellStyle name="Normal 2 4 3 3 2 5 4" xfId="11040" xr:uid="{2309F955-3283-4ACC-8907-F67D5556BA4B}"/>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EF1F7467-02D9-4D21-B3D2-767E0D190284}"/>
    <cellStyle name="Normal 2 4 3 3 2 6 2 3" xfId="13598" xr:uid="{65BFA4B4-201D-4422-8E34-0688E3027325}"/>
    <cellStyle name="Normal 2 4 3 3 2 6 3" xfId="6344" xr:uid="{00000000-0005-0000-0000-0000F50F0000}"/>
    <cellStyle name="Normal 2 4 3 3 2 6 3 2" xfId="15670" xr:uid="{F1312A10-50CB-47E1-9773-64834B65286B}"/>
    <cellStyle name="Normal 2 4 3 3 2 6 4" xfId="11453" xr:uid="{30AAA23B-AAA5-45BC-A8BE-BD7CAD8E7B48}"/>
    <cellStyle name="Normal 2 4 3 3 2 7" xfId="2474" xr:uid="{00000000-0005-0000-0000-0000F60F0000}"/>
    <cellStyle name="Normal 2 4 3 3 2 7 2" xfId="6757" xr:uid="{00000000-0005-0000-0000-0000F70F0000}"/>
    <cellStyle name="Normal 2 4 3 3 2 7 2 2" xfId="16083" xr:uid="{5F8C2F8F-F437-4780-9304-08B5484A07E7}"/>
    <cellStyle name="Normal 2 4 3 3 2 7 3" xfId="11866" xr:uid="{F9854339-20B4-41F1-9E65-A2921ED6958F}"/>
    <cellStyle name="Normal 2 4 3 3 2 8" xfId="4691" xr:uid="{00000000-0005-0000-0000-0000F80F0000}"/>
    <cellStyle name="Normal 2 4 3 3 2 8 2" xfId="14017" xr:uid="{DC189F12-C2B2-4C60-B31F-C17EA8EF1D8E}"/>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F67F1F9D-AB6F-450B-A35F-BEEED5D93C09}"/>
    <cellStyle name="Normal 2 4 3 3 3 2 2 3" xfId="12361" xr:uid="{6D5FA09D-85B7-4D11-902B-BA3C2EA807D4}"/>
    <cellStyle name="Normal 2 4 3 3 3 2 3" xfId="5107" xr:uid="{00000000-0005-0000-0000-0000FD0F0000}"/>
    <cellStyle name="Normal 2 4 3 3 3 2 3 2" xfId="14433" xr:uid="{91BE8545-F390-4710-AFFD-820C6CC1AB57}"/>
    <cellStyle name="Normal 2 4 3 3 3 2 4" xfId="9446" xr:uid="{7ACDBBC8-943F-41CF-9832-96F56BCB3985}"/>
    <cellStyle name="Normal 2 4 3 3 3 2 5" xfId="10216" xr:uid="{AADB92EC-5460-48B4-857F-061E53D6713E}"/>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CE6DBCD4-D60D-454B-AB42-96852AFF121F}"/>
    <cellStyle name="Normal 2 4 3 3 3 3 2 3" xfId="12774" xr:uid="{B6BDC2C5-6F8C-4B70-9FFC-8552CDC49F76}"/>
    <cellStyle name="Normal 2 4 3 3 3 3 3" xfId="5520" xr:uid="{00000000-0005-0000-0000-000001100000}"/>
    <cellStyle name="Normal 2 4 3 3 3 3 3 2" xfId="14846" xr:uid="{1BBE8E83-540B-4DF9-9134-22CFF6F6BAB2}"/>
    <cellStyle name="Normal 2 4 3 3 3 3 4" xfId="10629" xr:uid="{C16C9543-E17C-482E-8EF9-C45489796C8A}"/>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4EEC7127-528D-42BE-89A2-A98C333C9CE7}"/>
    <cellStyle name="Normal 2 4 3 3 3 4 2 3" xfId="13187" xr:uid="{A8025820-1BA4-49E5-8337-B1D82D30A0BC}"/>
    <cellStyle name="Normal 2 4 3 3 3 4 3" xfId="5933" xr:uid="{00000000-0005-0000-0000-000005100000}"/>
    <cellStyle name="Normal 2 4 3 3 3 4 3 2" xfId="15259" xr:uid="{27AA0859-3251-482B-AA43-0F8EAD74A4A0}"/>
    <cellStyle name="Normal 2 4 3 3 3 4 4" xfId="11042" xr:uid="{7B80FB3F-F193-4525-B49D-A15DB98AC0CC}"/>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EE9CAF7F-BF2E-49B4-857C-5BB6653BA4B2}"/>
    <cellStyle name="Normal 2 4 3 3 3 5 2 3" xfId="13600" xr:uid="{2CD1F48B-56D6-4FE8-8EC1-73FE9225FFFB}"/>
    <cellStyle name="Normal 2 4 3 3 3 5 3" xfId="6346" xr:uid="{00000000-0005-0000-0000-000009100000}"/>
    <cellStyle name="Normal 2 4 3 3 3 5 3 2" xfId="15672" xr:uid="{3A8B9AFA-153B-4526-95FB-2E3C35EEA849}"/>
    <cellStyle name="Normal 2 4 3 3 3 5 4" xfId="11455" xr:uid="{2763453E-6394-45AF-9C51-94875F8C1BDC}"/>
    <cellStyle name="Normal 2 4 3 3 3 6" xfId="2476" xr:uid="{00000000-0005-0000-0000-00000A100000}"/>
    <cellStyle name="Normal 2 4 3 3 3 6 2" xfId="6759" xr:uid="{00000000-0005-0000-0000-00000B100000}"/>
    <cellStyle name="Normal 2 4 3 3 3 6 2 2" xfId="16085" xr:uid="{93F62C14-13ED-4E59-A9D7-E0CE8EDAA49A}"/>
    <cellStyle name="Normal 2 4 3 3 3 6 3" xfId="11868" xr:uid="{07E69DEB-83F5-497E-AEEE-D931EEEC91A4}"/>
    <cellStyle name="Normal 2 4 3 3 3 7" xfId="4693" xr:uid="{00000000-0005-0000-0000-00000C100000}"/>
    <cellStyle name="Normal 2 4 3 3 3 7 2" xfId="14019" xr:uid="{241D86ED-8495-4F24-A0C5-1CB0D79468FC}"/>
    <cellStyle name="Normal 2 4 3 3 3 8" xfId="9021" xr:uid="{4EC0F035-DC07-4262-9C58-7142AC357944}"/>
    <cellStyle name="Normal 2 4 3 3 3 9" xfId="9802" xr:uid="{397E3FE6-3334-4010-BB60-C08103739C14}"/>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482D3D77-4238-4914-BA1B-F06ED7E78D56}"/>
    <cellStyle name="Normal 2 4 3 3 4 2 3" xfId="12358" xr:uid="{4C194592-BEB4-4C51-A1D3-A1241AB9C9B5}"/>
    <cellStyle name="Normal 2 4 3 3 4 3" xfId="5104" xr:uid="{00000000-0005-0000-0000-000010100000}"/>
    <cellStyle name="Normal 2 4 3 3 4 3 2" xfId="14430" xr:uid="{51654A8A-ADD8-419E-A1D1-5D3FE0DE8561}"/>
    <cellStyle name="Normal 2 4 3 3 4 4" xfId="9239" xr:uid="{3DCBA9AF-C63D-4CA9-81B6-AC7CB7B67292}"/>
    <cellStyle name="Normal 2 4 3 3 4 5" xfId="10213" xr:uid="{F61C2EA4-439F-4F64-BD20-A2672B6EAB7B}"/>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EB1E79A2-3662-4E08-AD8D-607BF77DD088}"/>
    <cellStyle name="Normal 2 4 3 3 5 2 3" xfId="12771" xr:uid="{3D9F8FEC-FEBC-4617-876B-B03A83EE3FC9}"/>
    <cellStyle name="Normal 2 4 3 3 5 3" xfId="5517" xr:uid="{00000000-0005-0000-0000-000014100000}"/>
    <cellStyle name="Normal 2 4 3 3 5 3 2" xfId="14843" xr:uid="{E09BF0DD-42E6-4342-A465-29AD59AA231A}"/>
    <cellStyle name="Normal 2 4 3 3 5 4" xfId="10626" xr:uid="{DC8CD19E-C228-4ECB-B5DE-ADF5EF9068A2}"/>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72A0698C-56FF-4F5D-A348-BA995A41D99E}"/>
    <cellStyle name="Normal 2 4 3 3 6 2 3" xfId="13184" xr:uid="{60A8A0D7-72A8-4437-A7BE-E2C023C5A2DD}"/>
    <cellStyle name="Normal 2 4 3 3 6 3" xfId="5930" xr:uid="{00000000-0005-0000-0000-000018100000}"/>
    <cellStyle name="Normal 2 4 3 3 6 3 2" xfId="15256" xr:uid="{9F5742CD-4A7A-44F0-84E3-748DA3516C68}"/>
    <cellStyle name="Normal 2 4 3 3 6 4" xfId="11039" xr:uid="{7CACB104-ED20-4E04-8E9F-5E6CF9891224}"/>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B0917656-13AD-4AA6-A52B-694A89412504}"/>
    <cellStyle name="Normal 2 4 3 3 7 2 3" xfId="13597" xr:uid="{6A71F4EF-CA6A-4E61-B054-51C3F4F14C4C}"/>
    <cellStyle name="Normal 2 4 3 3 7 3" xfId="6343" xr:uid="{00000000-0005-0000-0000-00001C100000}"/>
    <cellStyle name="Normal 2 4 3 3 7 3 2" xfId="15669" xr:uid="{BEECDB74-9DA2-4403-B7F9-889C087F4BB6}"/>
    <cellStyle name="Normal 2 4 3 3 7 4" xfId="11452" xr:uid="{0395AC7E-7AB9-443B-98D3-50A87B36CDF0}"/>
    <cellStyle name="Normal 2 4 3 3 8" xfId="2473" xr:uid="{00000000-0005-0000-0000-00001D100000}"/>
    <cellStyle name="Normal 2 4 3 3 8 2" xfId="6756" xr:uid="{00000000-0005-0000-0000-00001E100000}"/>
    <cellStyle name="Normal 2 4 3 3 8 2 2" xfId="16082" xr:uid="{BACC415A-7625-47CE-99CF-168BB0DC4622}"/>
    <cellStyle name="Normal 2 4 3 3 8 3" xfId="11865" xr:uid="{B4A3D7E8-D198-4C76-B743-38649DE3626A}"/>
    <cellStyle name="Normal 2 4 3 3 9" xfId="4690" xr:uid="{00000000-0005-0000-0000-00001F100000}"/>
    <cellStyle name="Normal 2 4 3 3 9 2" xfId="14016" xr:uid="{1F2EFFBF-32BD-4085-B5D6-A4ABF14118A5}"/>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70375482-440D-48DB-8106-55198AE4A84C}"/>
    <cellStyle name="Normal 2 4 3 4 2 3" xfId="12357" xr:uid="{6B8E810E-65D1-4D64-BBC7-25569D2676FD}"/>
    <cellStyle name="Normal 2 4 3 4 3" xfId="5103" xr:uid="{00000000-0005-0000-0000-000023100000}"/>
    <cellStyle name="Normal 2 4 3 4 3 2" xfId="14429" xr:uid="{1506121F-B500-4F9A-B1C0-8665FF4F4E9E}"/>
    <cellStyle name="Normal 2 4 3 4 4" xfId="9605" xr:uid="{31B075F0-6828-4EC6-AC77-4B4B0626A722}"/>
    <cellStyle name="Normal 2 4 3 4 5" xfId="10212" xr:uid="{BC9E4A71-932C-4CE2-9330-A88B47AB104D}"/>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7A40202B-FE60-4794-868E-941B75BFD65C}"/>
    <cellStyle name="Normal 2 4 3 5 2 3" xfId="12770" xr:uid="{3085F747-8D66-49A1-80CA-C499FB860F95}"/>
    <cellStyle name="Normal 2 4 3 5 3" xfId="5516" xr:uid="{00000000-0005-0000-0000-000027100000}"/>
    <cellStyle name="Normal 2 4 3 5 3 2" xfId="14842" xr:uid="{AE9D6570-EE3F-446F-BC0D-B7C1D2E955A6}"/>
    <cellStyle name="Normal 2 4 3 5 4" xfId="10625" xr:uid="{BA241E96-51DC-431B-B257-895673C3566C}"/>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6D44D24E-F1D8-4057-9A8A-6E422A652BE2}"/>
    <cellStyle name="Normal 2 4 3 6 2 3" xfId="13183" xr:uid="{C632F881-2FDF-4C18-ACF0-0EF7E1FEBDEA}"/>
    <cellStyle name="Normal 2 4 3 6 3" xfId="5929" xr:uid="{00000000-0005-0000-0000-00002B100000}"/>
    <cellStyle name="Normal 2 4 3 6 3 2" xfId="15255" xr:uid="{68CE6059-06A8-469D-A1E3-9D26505840BC}"/>
    <cellStyle name="Normal 2 4 3 6 4" xfId="11038" xr:uid="{5C556150-6531-46D2-AB62-19F1608A7A95}"/>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192D0186-852E-4426-A63D-AA63C116EE18}"/>
    <cellStyle name="Normal 2 4 3 7 2 3" xfId="13596" xr:uid="{FE62E3D0-670D-444E-AAB5-B7AF40531043}"/>
    <cellStyle name="Normal 2 4 3 7 3" xfId="6342" xr:uid="{00000000-0005-0000-0000-00002F100000}"/>
    <cellStyle name="Normal 2 4 3 7 3 2" xfId="15668" xr:uid="{1C086759-0366-4154-A04A-0FD8249A6690}"/>
    <cellStyle name="Normal 2 4 3 7 4" xfId="11451" xr:uid="{D63FA9BB-5ED2-4B87-B40B-ABB83FEADCB3}"/>
    <cellStyle name="Normal 2 4 3 8" xfId="2472" xr:uid="{00000000-0005-0000-0000-000030100000}"/>
    <cellStyle name="Normal 2 4 3 8 2" xfId="6755" xr:uid="{00000000-0005-0000-0000-000031100000}"/>
    <cellStyle name="Normal 2 4 3 8 2 2" xfId="16081" xr:uid="{2CEC3673-02FB-4AAD-8774-BB15112180E9}"/>
    <cellStyle name="Normal 2 4 3 8 3" xfId="11864" xr:uid="{1673D061-CFE7-4BD6-9B21-6E2D4F76F81A}"/>
    <cellStyle name="Normal 2 4 3 9" xfId="4689" xr:uid="{00000000-0005-0000-0000-000032100000}"/>
    <cellStyle name="Normal 2 4 3 9 2" xfId="14015" xr:uid="{4965CFD8-4987-48B2-B31B-9E5E6090A29C}"/>
    <cellStyle name="Normal 2 4 4" xfId="302" xr:uid="{00000000-0005-0000-0000-000033100000}"/>
    <cellStyle name="Normal 2 4 5" xfId="303" xr:uid="{00000000-0005-0000-0000-000034100000}"/>
    <cellStyle name="Normal 2 4 5 10" xfId="4694" xr:uid="{00000000-0005-0000-0000-000035100000}"/>
    <cellStyle name="Normal 2 4 5 10 2" xfId="14020" xr:uid="{31137360-D765-4B3D-B14F-12B71E79F0D3}"/>
    <cellStyle name="Normal 2 4 5 11" xfId="8780" xr:uid="{7650B30D-5C17-47F0-B17B-A5E27258C29E}"/>
    <cellStyle name="Normal 2 4 5 12" xfId="9803" xr:uid="{A6BBBE14-DC07-4959-A35F-81C8AFFFDD9C}"/>
    <cellStyle name="Normal 2 4 5 2" xfId="304" xr:uid="{00000000-0005-0000-0000-000036100000}"/>
    <cellStyle name="Normal 2 4 5 2 10" xfId="8815" xr:uid="{40A5EFE5-2EC9-4F25-B9EC-CAF9321E00F7}"/>
    <cellStyle name="Normal 2 4 5 2 11" xfId="9804" xr:uid="{4725A899-6AC5-4759-9DBC-909272089226}"/>
    <cellStyle name="Normal 2 4 5 2 2" xfId="305" xr:uid="{00000000-0005-0000-0000-000037100000}"/>
    <cellStyle name="Normal 2 4 5 2 2 10" xfId="9805" xr:uid="{BF4F14F9-181C-4107-8042-233D1ADE32CB}"/>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E8407A2F-1717-4FD3-9165-8B03991F06ED}"/>
    <cellStyle name="Normal 2 4 5 2 2 2 2 2 3" xfId="12365" xr:uid="{4947EB95-A0EA-495E-BDF5-DCF22B3B932E}"/>
    <cellStyle name="Normal 2 4 5 2 2 2 2 3" xfId="5111" xr:uid="{00000000-0005-0000-0000-00003C100000}"/>
    <cellStyle name="Normal 2 4 5 2 2 2 2 3 2" xfId="14437" xr:uid="{DCC04FF9-6537-4F56-A742-A6BB41427465}"/>
    <cellStyle name="Normal 2 4 5 2 2 2 2 4" xfId="9550" xr:uid="{8A7671EC-AB7E-4F51-9B1B-FE1F0FDC42A9}"/>
    <cellStyle name="Normal 2 4 5 2 2 2 2 5" xfId="10220" xr:uid="{C1A7E0BF-6E03-44EC-943B-D16D9D99C808}"/>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A1DA0416-250A-4610-8665-8BE4AE1C699E}"/>
    <cellStyle name="Normal 2 4 5 2 2 2 3 2 3" xfId="12778" xr:uid="{D369044B-CE8C-43E6-8F5B-8863A00A2A91}"/>
    <cellStyle name="Normal 2 4 5 2 2 2 3 3" xfId="5524" xr:uid="{00000000-0005-0000-0000-000040100000}"/>
    <cellStyle name="Normal 2 4 5 2 2 2 3 3 2" xfId="14850" xr:uid="{FF5B410B-CCCA-4CA6-A22D-8C317B02E3CE}"/>
    <cellStyle name="Normal 2 4 5 2 2 2 3 4" xfId="10633" xr:uid="{76C2C820-E731-4806-A84C-75DC9F9C535B}"/>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B259B9D5-03D6-40AD-924E-C98C8A979762}"/>
    <cellStyle name="Normal 2 4 5 2 2 2 4 2 3" xfId="13191" xr:uid="{1D730082-E893-44F2-8156-C55D5FCCE7E2}"/>
    <cellStyle name="Normal 2 4 5 2 2 2 4 3" xfId="5937" xr:uid="{00000000-0005-0000-0000-000044100000}"/>
    <cellStyle name="Normal 2 4 5 2 2 2 4 3 2" xfId="15263" xr:uid="{629131F5-450D-414F-91EF-90E542656BA7}"/>
    <cellStyle name="Normal 2 4 5 2 2 2 4 4" xfId="11046" xr:uid="{AFC6AEDD-9C27-49D0-A442-F7F7A956844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9B76A7AD-A7C5-463B-8313-BD36AFD36C09}"/>
    <cellStyle name="Normal 2 4 5 2 2 2 5 2 3" xfId="13604" xr:uid="{C9B8C1CF-234F-4853-98BA-1B5DAB78CA3B}"/>
    <cellStyle name="Normal 2 4 5 2 2 2 5 3" xfId="6350" xr:uid="{00000000-0005-0000-0000-000048100000}"/>
    <cellStyle name="Normal 2 4 5 2 2 2 5 3 2" xfId="15676" xr:uid="{5D25A9AB-DBCB-46B3-AE1C-8AAF6AF15B6A}"/>
    <cellStyle name="Normal 2 4 5 2 2 2 5 4" xfId="11459" xr:uid="{7A215306-6275-4BDC-978E-A23883722A2D}"/>
    <cellStyle name="Normal 2 4 5 2 2 2 6" xfId="2480" xr:uid="{00000000-0005-0000-0000-000049100000}"/>
    <cellStyle name="Normal 2 4 5 2 2 2 6 2" xfId="6763" xr:uid="{00000000-0005-0000-0000-00004A100000}"/>
    <cellStyle name="Normal 2 4 5 2 2 2 6 2 2" xfId="16089" xr:uid="{37F97D5A-3945-4852-BD5E-B60ACF9A17A9}"/>
    <cellStyle name="Normal 2 4 5 2 2 2 6 3" xfId="11872" xr:uid="{8BC0E308-0182-4FE1-B681-ED506E1D1D4A}"/>
    <cellStyle name="Normal 2 4 5 2 2 2 7" xfId="4697" xr:uid="{00000000-0005-0000-0000-00004B100000}"/>
    <cellStyle name="Normal 2 4 5 2 2 2 7 2" xfId="14023" xr:uid="{E6125299-9175-445B-B292-99645D98282D}"/>
    <cellStyle name="Normal 2 4 5 2 2 2 8" xfId="9125" xr:uid="{AE6B93A1-5C0B-49F1-AF15-6FC3FAFFE3B2}"/>
    <cellStyle name="Normal 2 4 5 2 2 2 9" xfId="9806" xr:uid="{9AC03F5C-39A4-4594-A4C2-D57CBB79E527}"/>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99BB159B-93C2-4039-B569-CEC0DDF72FF8}"/>
    <cellStyle name="Normal 2 4 5 2 2 3 2 3" xfId="12364" xr:uid="{1EF2B181-4A9D-4CCC-9FA3-60CD10DE907B}"/>
    <cellStyle name="Normal 2 4 5 2 2 3 3" xfId="5110" xr:uid="{00000000-0005-0000-0000-00004F100000}"/>
    <cellStyle name="Normal 2 4 5 2 2 3 3 2" xfId="14436" xr:uid="{AF821384-A39D-4337-A920-EC2F0F935E2F}"/>
    <cellStyle name="Normal 2 4 5 2 2 3 4" xfId="9343" xr:uid="{FC4CD386-4202-45E2-8021-2A85CACF4E8B}"/>
    <cellStyle name="Normal 2 4 5 2 2 3 5" xfId="10219" xr:uid="{1ED9BD3F-4894-4C18-AE38-247AFD8DA834}"/>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600B2C8B-DEC0-4508-A1D6-03D106497937}"/>
    <cellStyle name="Normal 2 4 5 2 2 4 2 3" xfId="12777" xr:uid="{0F6A5DBB-BE2A-4CA4-BD9E-0FB58D41D2B1}"/>
    <cellStyle name="Normal 2 4 5 2 2 4 3" xfId="5523" xr:uid="{00000000-0005-0000-0000-000053100000}"/>
    <cellStyle name="Normal 2 4 5 2 2 4 3 2" xfId="14849" xr:uid="{F8640C3E-1B54-4158-B2C0-AB212EBCC6D6}"/>
    <cellStyle name="Normal 2 4 5 2 2 4 4" xfId="10632" xr:uid="{CB9E6329-AD43-49C5-8D23-70FE3566CD48}"/>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B6D47216-DB16-43CD-B054-5AE8C5383FC8}"/>
    <cellStyle name="Normal 2 4 5 2 2 5 2 3" xfId="13190" xr:uid="{C6F3829D-0816-473E-B494-18AEB22439EC}"/>
    <cellStyle name="Normal 2 4 5 2 2 5 3" xfId="5936" xr:uid="{00000000-0005-0000-0000-000057100000}"/>
    <cellStyle name="Normal 2 4 5 2 2 5 3 2" xfId="15262" xr:uid="{6DC2554C-F9C8-449B-9E59-958F7D5892BA}"/>
    <cellStyle name="Normal 2 4 5 2 2 5 4" xfId="11045" xr:uid="{376BEB36-EB44-4D1A-96E6-2DA8B1ABDC1A}"/>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53B44894-2B47-44C2-8E80-6355B3ED7DF9}"/>
    <cellStyle name="Normal 2 4 5 2 2 6 2 3" xfId="13603" xr:uid="{51259CD7-F267-46A3-B516-BA82DBA538FA}"/>
    <cellStyle name="Normal 2 4 5 2 2 6 3" xfId="6349" xr:uid="{00000000-0005-0000-0000-00005B100000}"/>
    <cellStyle name="Normal 2 4 5 2 2 6 3 2" xfId="15675" xr:uid="{0FEDAF30-7267-49DC-839A-DB8BAEBEA6D4}"/>
    <cellStyle name="Normal 2 4 5 2 2 6 4" xfId="11458" xr:uid="{21199438-ED65-4005-AAB9-7806AFDB0355}"/>
    <cellStyle name="Normal 2 4 5 2 2 7" xfId="2479" xr:uid="{00000000-0005-0000-0000-00005C100000}"/>
    <cellStyle name="Normal 2 4 5 2 2 7 2" xfId="6762" xr:uid="{00000000-0005-0000-0000-00005D100000}"/>
    <cellStyle name="Normal 2 4 5 2 2 7 2 2" xfId="16088" xr:uid="{8CFE47F0-6F68-4369-98C1-362485DBA797}"/>
    <cellStyle name="Normal 2 4 5 2 2 7 3" xfId="11871" xr:uid="{6CB447E4-FE25-41B8-AF30-D73B75DF59CE}"/>
    <cellStyle name="Normal 2 4 5 2 2 8" xfId="4696" xr:uid="{00000000-0005-0000-0000-00005E100000}"/>
    <cellStyle name="Normal 2 4 5 2 2 8 2" xfId="14022" xr:uid="{CE599719-180E-4168-B417-2C49C4BB620B}"/>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9B642BE2-63C3-45A5-8651-9F33FD6572A8}"/>
    <cellStyle name="Normal 2 4 5 2 3 2 2 3" xfId="12366" xr:uid="{86309B9D-7BDA-47DE-B729-02FB206CCA73}"/>
    <cellStyle name="Normal 2 4 5 2 3 2 3" xfId="5112" xr:uid="{00000000-0005-0000-0000-000063100000}"/>
    <cellStyle name="Normal 2 4 5 2 3 2 3 2" xfId="14438" xr:uid="{0F24B704-5DC8-463E-A534-23F162C3D0D2}"/>
    <cellStyle name="Normal 2 4 5 2 3 2 4" xfId="9447" xr:uid="{5DAE67B2-15F6-4C7F-9310-B9C816D42F72}"/>
    <cellStyle name="Normal 2 4 5 2 3 2 5" xfId="10221" xr:uid="{52320339-78BA-40E8-A382-22E0FD632624}"/>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CC04EBD7-4361-48D2-8BEF-66D5D9FF1B99}"/>
    <cellStyle name="Normal 2 4 5 2 3 3 2 3" xfId="12779" xr:uid="{A250D3C3-CFC7-43E0-9C61-B4470BEFE207}"/>
    <cellStyle name="Normal 2 4 5 2 3 3 3" xfId="5525" xr:uid="{00000000-0005-0000-0000-000067100000}"/>
    <cellStyle name="Normal 2 4 5 2 3 3 3 2" xfId="14851" xr:uid="{257D3870-2196-45D8-86CC-3BB6D682D749}"/>
    <cellStyle name="Normal 2 4 5 2 3 3 4" xfId="10634" xr:uid="{3CE23885-C54C-4BDD-B8C8-5B2B6BFFA66F}"/>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13E56EDE-CDAD-4CDF-B4D9-2D3AD6AD2211}"/>
    <cellStyle name="Normal 2 4 5 2 3 4 2 3" xfId="13192" xr:uid="{D8F4197A-9FD3-4A0B-B98A-AA5901DD3A21}"/>
    <cellStyle name="Normal 2 4 5 2 3 4 3" xfId="5938" xr:uid="{00000000-0005-0000-0000-00006B100000}"/>
    <cellStyle name="Normal 2 4 5 2 3 4 3 2" xfId="15264" xr:uid="{0D1A319B-6F6C-47F4-9160-C468FCB09EEE}"/>
    <cellStyle name="Normal 2 4 5 2 3 4 4" xfId="11047" xr:uid="{5738039A-E3ED-445B-AA0E-F88B25F319B4}"/>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E421BCD2-49FD-4B03-B8B8-99FA16A145F6}"/>
    <cellStyle name="Normal 2 4 5 2 3 5 2 3" xfId="13605" xr:uid="{C4F6F19C-64BC-4712-8C51-940357BE81C5}"/>
    <cellStyle name="Normal 2 4 5 2 3 5 3" xfId="6351" xr:uid="{00000000-0005-0000-0000-00006F100000}"/>
    <cellStyle name="Normal 2 4 5 2 3 5 3 2" xfId="15677" xr:uid="{BFFBAEE2-8BF0-4773-8530-AE8665D794D1}"/>
    <cellStyle name="Normal 2 4 5 2 3 5 4" xfId="11460" xr:uid="{3C32518F-20F6-424C-B58A-881410D51379}"/>
    <cellStyle name="Normal 2 4 5 2 3 6" xfId="2481" xr:uid="{00000000-0005-0000-0000-000070100000}"/>
    <cellStyle name="Normal 2 4 5 2 3 6 2" xfId="6764" xr:uid="{00000000-0005-0000-0000-000071100000}"/>
    <cellStyle name="Normal 2 4 5 2 3 6 2 2" xfId="16090" xr:uid="{1DFBD4F7-7D02-4E78-B13A-9B26D1323F80}"/>
    <cellStyle name="Normal 2 4 5 2 3 6 3" xfId="11873" xr:uid="{983BD833-0502-44A9-B7D3-AF1047D9A10F}"/>
    <cellStyle name="Normal 2 4 5 2 3 7" xfId="4698" xr:uid="{00000000-0005-0000-0000-000072100000}"/>
    <cellStyle name="Normal 2 4 5 2 3 7 2" xfId="14024" xr:uid="{0AEE55FB-9D06-4A92-A930-F0CC0BC50B54}"/>
    <cellStyle name="Normal 2 4 5 2 3 8" xfId="9022" xr:uid="{B979F5DF-A88B-437D-B1B4-B92D08856DC7}"/>
    <cellStyle name="Normal 2 4 5 2 3 9" xfId="9807" xr:uid="{7F9DA499-733B-418E-83E8-751F04B033E2}"/>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9B714B94-3B0D-4BD8-9B66-F48966E84A36}"/>
    <cellStyle name="Normal 2 4 5 2 4 2 3" xfId="12363" xr:uid="{59A7D419-6E58-483F-838E-0CB7BC596A4F}"/>
    <cellStyle name="Normal 2 4 5 2 4 3" xfId="5109" xr:uid="{00000000-0005-0000-0000-000076100000}"/>
    <cellStyle name="Normal 2 4 5 2 4 3 2" xfId="14435" xr:uid="{4E1FAB7C-4B55-47FA-AC38-9B2C9F7149FA}"/>
    <cellStyle name="Normal 2 4 5 2 4 4" xfId="9240" xr:uid="{16FBE981-4867-4157-8C0D-9C1339DB5B3F}"/>
    <cellStyle name="Normal 2 4 5 2 4 5" xfId="10218" xr:uid="{33499502-E8CC-4690-BD9D-E071A5B956A3}"/>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E540C4C1-0652-4F9F-919A-60C8C7A3E6BC}"/>
    <cellStyle name="Normal 2 4 5 2 5 2 3" xfId="12776" xr:uid="{D7E9CE9D-3E08-4579-9EC1-93FCFE9657CB}"/>
    <cellStyle name="Normal 2 4 5 2 5 3" xfId="5522" xr:uid="{00000000-0005-0000-0000-00007A100000}"/>
    <cellStyle name="Normal 2 4 5 2 5 3 2" xfId="14848" xr:uid="{8AC5CFF7-B1DD-47F3-8052-5F19995828C9}"/>
    <cellStyle name="Normal 2 4 5 2 5 4" xfId="10631" xr:uid="{6A008DD9-6C85-490E-831E-4A4129BAC0E9}"/>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2724F7C5-FAD4-417B-AC0C-2682D5D9B80E}"/>
    <cellStyle name="Normal 2 4 5 2 6 2 3" xfId="13189" xr:uid="{0EC3258E-16DA-4D59-A1E1-40C1E71A3717}"/>
    <cellStyle name="Normal 2 4 5 2 6 3" xfId="5935" xr:uid="{00000000-0005-0000-0000-00007E100000}"/>
    <cellStyle name="Normal 2 4 5 2 6 3 2" xfId="15261" xr:uid="{C9E1751D-36E2-4355-B220-7673B14CB6C7}"/>
    <cellStyle name="Normal 2 4 5 2 6 4" xfId="11044" xr:uid="{6E7E7D4E-A69F-4E89-9BC9-9394AAF300D4}"/>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95AFC501-2998-48C2-BD3D-3F77DCDA77E9}"/>
    <cellStyle name="Normal 2 4 5 2 7 2 3" xfId="13602" xr:uid="{011997C9-D63D-4462-BA88-6A0725DFA516}"/>
    <cellStyle name="Normal 2 4 5 2 7 3" xfId="6348" xr:uid="{00000000-0005-0000-0000-000082100000}"/>
    <cellStyle name="Normal 2 4 5 2 7 3 2" xfId="15674" xr:uid="{5FE64A75-735E-464E-999E-EB02A9B93EF6}"/>
    <cellStyle name="Normal 2 4 5 2 7 4" xfId="11457" xr:uid="{249F14C0-8C59-4C5B-B053-6F2926F091E2}"/>
    <cellStyle name="Normal 2 4 5 2 8" xfId="2478" xr:uid="{00000000-0005-0000-0000-000083100000}"/>
    <cellStyle name="Normal 2 4 5 2 8 2" xfId="6761" xr:uid="{00000000-0005-0000-0000-000084100000}"/>
    <cellStyle name="Normal 2 4 5 2 8 2 2" xfId="16087" xr:uid="{17051476-62EA-4BD5-9434-7AB4A425B674}"/>
    <cellStyle name="Normal 2 4 5 2 8 3" xfId="11870" xr:uid="{AAD7C7CF-72FC-4DAC-89CE-577F2CABA8DA}"/>
    <cellStyle name="Normal 2 4 5 2 9" xfId="4695" xr:uid="{00000000-0005-0000-0000-000085100000}"/>
    <cellStyle name="Normal 2 4 5 2 9 2" xfId="14021" xr:uid="{8095CC4D-7285-448C-8549-9FED3D5BAD39}"/>
    <cellStyle name="Normal 2 4 5 3" xfId="308" xr:uid="{00000000-0005-0000-0000-000086100000}"/>
    <cellStyle name="Normal 2 4 5 3 10" xfId="9808" xr:uid="{FA69BE06-6174-4E5E-B7B5-4653D49B3ACC}"/>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9565381D-9F77-47F5-B01A-A01256200385}"/>
    <cellStyle name="Normal 2 4 5 3 2 2 2 3" xfId="12368" xr:uid="{CD3843B4-7E0A-4F2E-9788-B67D4567BDED}"/>
    <cellStyle name="Normal 2 4 5 3 2 2 3" xfId="5114" xr:uid="{00000000-0005-0000-0000-00008B100000}"/>
    <cellStyle name="Normal 2 4 5 3 2 2 3 2" xfId="14440" xr:uid="{5CC5B0B3-B75B-4DCB-AA98-9790607B7B15}"/>
    <cellStyle name="Normal 2 4 5 3 2 2 4" xfId="9515" xr:uid="{A1D6949C-773D-44DB-B26F-4DD01D24FF00}"/>
    <cellStyle name="Normal 2 4 5 3 2 2 5" xfId="10223" xr:uid="{BF2E325D-9556-4B5E-B349-7CDD3A0BFDA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A52061F9-CD8F-4CEB-B601-1213A6A29845}"/>
    <cellStyle name="Normal 2 4 5 3 2 3 2 3" xfId="12781" xr:uid="{2A7F453A-31A1-41D5-9E8D-CC1DA6F52C3F}"/>
    <cellStyle name="Normal 2 4 5 3 2 3 3" xfId="5527" xr:uid="{00000000-0005-0000-0000-00008F100000}"/>
    <cellStyle name="Normal 2 4 5 3 2 3 3 2" xfId="14853" xr:uid="{E6AF26E1-3D3C-457A-882D-69AC258FA1AD}"/>
    <cellStyle name="Normal 2 4 5 3 2 3 4" xfId="10636" xr:uid="{1D2E5007-AE1A-4D04-8797-37A0B4C8D109}"/>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AF372805-0D45-4E03-A2AF-4004537A3731}"/>
    <cellStyle name="Normal 2 4 5 3 2 4 2 3" xfId="13194" xr:uid="{3C111C84-0B60-45F7-93E3-B9BBA6E65AFC}"/>
    <cellStyle name="Normal 2 4 5 3 2 4 3" xfId="5940" xr:uid="{00000000-0005-0000-0000-000093100000}"/>
    <cellStyle name="Normal 2 4 5 3 2 4 3 2" xfId="15266" xr:uid="{EB3C37D8-5450-4052-84F4-E9A0BB8F6108}"/>
    <cellStyle name="Normal 2 4 5 3 2 4 4" xfId="11049" xr:uid="{AEE3EB3E-B89B-4B1D-9B68-DA689563302A}"/>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832F1C0A-ACC3-43E8-819B-524F6E1E6322}"/>
    <cellStyle name="Normal 2 4 5 3 2 5 2 3" xfId="13607" xr:uid="{23006D8A-DF96-460E-A6EF-50F22841093F}"/>
    <cellStyle name="Normal 2 4 5 3 2 5 3" xfId="6353" xr:uid="{00000000-0005-0000-0000-000097100000}"/>
    <cellStyle name="Normal 2 4 5 3 2 5 3 2" xfId="15679" xr:uid="{B6C8901C-660D-4D95-A85F-F0D8FB513F81}"/>
    <cellStyle name="Normal 2 4 5 3 2 5 4" xfId="11462" xr:uid="{B0AA6EB1-BD53-4E3D-A059-4BE7D4B4D564}"/>
    <cellStyle name="Normal 2 4 5 3 2 6" xfId="2483" xr:uid="{00000000-0005-0000-0000-000098100000}"/>
    <cellStyle name="Normal 2 4 5 3 2 6 2" xfId="6766" xr:uid="{00000000-0005-0000-0000-000099100000}"/>
    <cellStyle name="Normal 2 4 5 3 2 6 2 2" xfId="16092" xr:uid="{30F262EF-C46D-4300-81B2-8705F5AD55D5}"/>
    <cellStyle name="Normal 2 4 5 3 2 6 3" xfId="11875" xr:uid="{E671A66C-3351-4825-AC61-3B56F72E2FEE}"/>
    <cellStyle name="Normal 2 4 5 3 2 7" xfId="4700" xr:uid="{00000000-0005-0000-0000-00009A100000}"/>
    <cellStyle name="Normal 2 4 5 3 2 7 2" xfId="14026" xr:uid="{13E49113-913C-4BAC-9A96-A84F88413728}"/>
    <cellStyle name="Normal 2 4 5 3 2 8" xfId="9090" xr:uid="{4B64C5F8-5AC3-43D3-B94A-46850BBF79A5}"/>
    <cellStyle name="Normal 2 4 5 3 2 9" xfId="9809" xr:uid="{F0BD4952-CBFB-46A0-85F8-ED6330D80366}"/>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286E5AD5-0BC5-41D8-B518-1D21D21BC002}"/>
    <cellStyle name="Normal 2 4 5 3 3 2 3" xfId="12367" xr:uid="{A2E5BD9C-169C-4714-8265-0695EBB7944F}"/>
    <cellStyle name="Normal 2 4 5 3 3 3" xfId="5113" xr:uid="{00000000-0005-0000-0000-00009E100000}"/>
    <cellStyle name="Normal 2 4 5 3 3 3 2" xfId="14439" xr:uid="{555BDA9C-2561-4406-AF4F-B71EF2E967BE}"/>
    <cellStyle name="Normal 2 4 5 3 3 4" xfId="9308" xr:uid="{40198FFA-4C90-42BE-90C8-42459F1A2A1C}"/>
    <cellStyle name="Normal 2 4 5 3 3 5" xfId="10222" xr:uid="{73011695-D838-4EB6-9DBE-60A93A4E17AF}"/>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721BD1F1-9710-4731-99FF-45D250C36789}"/>
    <cellStyle name="Normal 2 4 5 3 4 2 3" xfId="12780" xr:uid="{FB7D8334-93AF-4A25-8660-13B17A48C524}"/>
    <cellStyle name="Normal 2 4 5 3 4 3" xfId="5526" xr:uid="{00000000-0005-0000-0000-0000A2100000}"/>
    <cellStyle name="Normal 2 4 5 3 4 3 2" xfId="14852" xr:uid="{DFBEDF9A-96FB-4640-ABD8-D34F7BB80F19}"/>
    <cellStyle name="Normal 2 4 5 3 4 4" xfId="10635" xr:uid="{ADF0CBDD-444D-4270-8F96-4DBDA638E8E6}"/>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89155D60-D516-455B-AC24-77403B976D00}"/>
    <cellStyle name="Normal 2 4 5 3 5 2 3" xfId="13193" xr:uid="{C91100C5-5A3F-4392-A4CB-48AFB546E872}"/>
    <cellStyle name="Normal 2 4 5 3 5 3" xfId="5939" xr:uid="{00000000-0005-0000-0000-0000A6100000}"/>
    <cellStyle name="Normal 2 4 5 3 5 3 2" xfId="15265" xr:uid="{05E3E10B-32AA-4B7B-BCEF-C2F8B50803C9}"/>
    <cellStyle name="Normal 2 4 5 3 5 4" xfId="11048" xr:uid="{58676ACD-F035-48CE-853F-D42DFD249EEC}"/>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541EBC3F-521E-4605-8C5F-B2C7E7C3A8C7}"/>
    <cellStyle name="Normal 2 4 5 3 6 2 3" xfId="13606" xr:uid="{5566CBB2-A8FA-426C-B76F-06AB3268D77A}"/>
    <cellStyle name="Normal 2 4 5 3 6 3" xfId="6352" xr:uid="{00000000-0005-0000-0000-0000AA100000}"/>
    <cellStyle name="Normal 2 4 5 3 6 3 2" xfId="15678" xr:uid="{1954ECF8-8110-4E89-9F2A-89C8D13712D4}"/>
    <cellStyle name="Normal 2 4 5 3 6 4" xfId="11461" xr:uid="{FE2EC991-EE58-4334-9BE0-E489A315853E}"/>
    <cellStyle name="Normal 2 4 5 3 7" xfId="2482" xr:uid="{00000000-0005-0000-0000-0000AB100000}"/>
    <cellStyle name="Normal 2 4 5 3 7 2" xfId="6765" xr:uid="{00000000-0005-0000-0000-0000AC100000}"/>
    <cellStyle name="Normal 2 4 5 3 7 2 2" xfId="16091" xr:uid="{458A8D1A-A7EB-458C-A02F-36BEB2458871}"/>
    <cellStyle name="Normal 2 4 5 3 7 3" xfId="11874" xr:uid="{10B01EFF-9C61-425F-A056-BBB45C639D92}"/>
    <cellStyle name="Normal 2 4 5 3 8" xfId="4699" xr:uid="{00000000-0005-0000-0000-0000AD100000}"/>
    <cellStyle name="Normal 2 4 5 3 8 2" xfId="14025" xr:uid="{42E1604A-5FD6-4BFF-92A8-7C5F0AFFA99D}"/>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F331514A-F69D-4A05-AE32-A38BC9722751}"/>
    <cellStyle name="Normal 2 4 5 4 2 2 3" xfId="12369" xr:uid="{D6AAD666-DAFD-4F4F-A65B-138343B828F7}"/>
    <cellStyle name="Normal 2 4 5 4 2 3" xfId="5115" xr:uid="{00000000-0005-0000-0000-0000B2100000}"/>
    <cellStyle name="Normal 2 4 5 4 2 3 2" xfId="14441" xr:uid="{CB20704C-CDF0-4176-8DBC-D067853C874D}"/>
    <cellStyle name="Normal 2 4 5 4 2 4" xfId="9412" xr:uid="{0ECAC303-3EA0-4623-AA0F-854157CA32E5}"/>
    <cellStyle name="Normal 2 4 5 4 2 5" xfId="10224" xr:uid="{8D690169-C395-4257-9746-EBE781F71153}"/>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AAED9401-6DC2-4E1A-9C00-CD4B5C0B03E8}"/>
    <cellStyle name="Normal 2 4 5 4 3 2 3" xfId="12782" xr:uid="{81C5CFB3-F9D9-4336-9E49-9F878FF16ECB}"/>
    <cellStyle name="Normal 2 4 5 4 3 3" xfId="5528" xr:uid="{00000000-0005-0000-0000-0000B6100000}"/>
    <cellStyle name="Normal 2 4 5 4 3 3 2" xfId="14854" xr:uid="{CEDBA0B8-A6DF-4A40-A873-2B9684A20CEE}"/>
    <cellStyle name="Normal 2 4 5 4 3 4" xfId="10637" xr:uid="{72A77337-64AE-4AD2-AFD8-A8AD9C6AB38E}"/>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B2F4B53E-D6DD-4CFA-A2C8-E61EA0B748D4}"/>
    <cellStyle name="Normal 2 4 5 4 4 2 3" xfId="13195" xr:uid="{5695C9C3-48C7-48BE-8FB9-DE9AE877CFEF}"/>
    <cellStyle name="Normal 2 4 5 4 4 3" xfId="5941" xr:uid="{00000000-0005-0000-0000-0000BA100000}"/>
    <cellStyle name="Normal 2 4 5 4 4 3 2" xfId="15267" xr:uid="{BD55B846-6E9E-4685-B749-C4ACBDFD3E73}"/>
    <cellStyle name="Normal 2 4 5 4 4 4" xfId="11050" xr:uid="{8F84C684-EB68-49C1-B827-A9E37F36CF48}"/>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473EA999-9022-48CF-8BA1-0154CCE84752}"/>
    <cellStyle name="Normal 2 4 5 4 5 2 3" xfId="13608" xr:uid="{1344C6BA-601F-4B18-8F1E-93578BF3D7A7}"/>
    <cellStyle name="Normal 2 4 5 4 5 3" xfId="6354" xr:uid="{00000000-0005-0000-0000-0000BE100000}"/>
    <cellStyle name="Normal 2 4 5 4 5 3 2" xfId="15680" xr:uid="{E77EF197-EBD2-4BC3-AD07-E722C2AC3C67}"/>
    <cellStyle name="Normal 2 4 5 4 5 4" xfId="11463" xr:uid="{BF0C5D3E-C03D-4776-AE82-018CD71C3062}"/>
    <cellStyle name="Normal 2 4 5 4 6" xfId="2484" xr:uid="{00000000-0005-0000-0000-0000BF100000}"/>
    <cellStyle name="Normal 2 4 5 4 6 2" xfId="6767" xr:uid="{00000000-0005-0000-0000-0000C0100000}"/>
    <cellStyle name="Normal 2 4 5 4 6 2 2" xfId="16093" xr:uid="{5CA36218-1068-470C-B296-C2ADCF8739A8}"/>
    <cellStyle name="Normal 2 4 5 4 6 3" xfId="11876" xr:uid="{AC05B720-70FC-476D-B961-16D11EA4D0B1}"/>
    <cellStyle name="Normal 2 4 5 4 7" xfId="4701" xr:uid="{00000000-0005-0000-0000-0000C1100000}"/>
    <cellStyle name="Normal 2 4 5 4 7 2" xfId="14027" xr:uid="{62CF8F17-9110-4297-AE48-F627E1FD4CA5}"/>
    <cellStyle name="Normal 2 4 5 4 8" xfId="8987" xr:uid="{8DC2C01A-3078-41AD-BCFB-AA1CA8EE9C0A}"/>
    <cellStyle name="Normal 2 4 5 4 9" xfId="9810" xr:uid="{D8F09AED-5CFB-4859-97AA-207B0BEC5ED9}"/>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C7FCB649-AA8C-426D-BA7F-69D3D9299FD9}"/>
    <cellStyle name="Normal 2 4 5 5 2 3" xfId="12362" xr:uid="{F417C6A1-7F70-49C7-9E80-2AE113B5470A}"/>
    <cellStyle name="Normal 2 4 5 5 3" xfId="5108" xr:uid="{00000000-0005-0000-0000-0000C5100000}"/>
    <cellStyle name="Normal 2 4 5 5 3 2" xfId="14434" xr:uid="{8457FF25-65FF-46A6-AF08-2A0AF277FD1F}"/>
    <cellStyle name="Normal 2 4 5 5 4" xfId="9204" xr:uid="{BE34B337-03EE-47D8-9E35-2EE6FAB30236}"/>
    <cellStyle name="Normal 2 4 5 5 5" xfId="10217" xr:uid="{CD9DBF1B-0F84-4875-97B6-8EA8C3BD5E26}"/>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17916A9F-6CFB-4334-9F4A-548B42972B79}"/>
    <cellStyle name="Normal 2 4 5 6 2 3" xfId="12775" xr:uid="{401D88F7-82A9-4633-83F9-C98544E8F9E5}"/>
    <cellStyle name="Normal 2 4 5 6 3" xfId="5521" xr:uid="{00000000-0005-0000-0000-0000C9100000}"/>
    <cellStyle name="Normal 2 4 5 6 3 2" xfId="14847" xr:uid="{C9D489E7-07FC-4F73-8042-47A4278185E9}"/>
    <cellStyle name="Normal 2 4 5 6 4" xfId="10630" xr:uid="{35FC7B5F-1610-4085-B8BE-08236E584067}"/>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50238481-9581-4406-BF18-EDA9745D958C}"/>
    <cellStyle name="Normal 2 4 5 7 2 3" xfId="13188" xr:uid="{3B8FE947-8608-48FC-A976-AF103F4CE39D}"/>
    <cellStyle name="Normal 2 4 5 7 3" xfId="5934" xr:uid="{00000000-0005-0000-0000-0000CD100000}"/>
    <cellStyle name="Normal 2 4 5 7 3 2" xfId="15260" xr:uid="{3A03C398-86B4-4874-9ACF-DF563443DF5A}"/>
    <cellStyle name="Normal 2 4 5 7 4" xfId="11043" xr:uid="{AE8FD1B7-081A-40BE-8E01-A829DF1D239F}"/>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4FB8A6E3-5299-434D-89C0-C08B158A73A6}"/>
    <cellStyle name="Normal 2 4 5 8 2 3" xfId="13601" xr:uid="{74446243-FFC7-423C-9A77-7D04658FB1EE}"/>
    <cellStyle name="Normal 2 4 5 8 3" xfId="6347" xr:uid="{00000000-0005-0000-0000-0000D1100000}"/>
    <cellStyle name="Normal 2 4 5 8 3 2" xfId="15673" xr:uid="{AD495D6F-6318-4DF3-8499-A456A891AC0A}"/>
    <cellStyle name="Normal 2 4 5 8 4" xfId="11456" xr:uid="{24805BC8-131B-4FDA-ADB2-36C2CCB51597}"/>
    <cellStyle name="Normal 2 4 5 9" xfId="2477" xr:uid="{00000000-0005-0000-0000-0000D2100000}"/>
    <cellStyle name="Normal 2 4 5 9 2" xfId="6760" xr:uid="{00000000-0005-0000-0000-0000D3100000}"/>
    <cellStyle name="Normal 2 4 5 9 2 2" xfId="16086" xr:uid="{523FCFBE-B2B7-4E8F-B56B-001B3B4F627A}"/>
    <cellStyle name="Normal 2 4 5 9 3" xfId="11869" xr:uid="{13614F94-23EA-4829-B404-A93B59EF11AA}"/>
    <cellStyle name="Normal 2 4 6" xfId="311" xr:uid="{00000000-0005-0000-0000-0000D4100000}"/>
    <cellStyle name="Normal 2 4 7" xfId="312" xr:uid="{00000000-0005-0000-0000-0000D5100000}"/>
    <cellStyle name="Normal 2 4 7 10" xfId="9811" xr:uid="{C4931233-5E5F-478D-9D3D-16916FDEA58B}"/>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B931FA47-4BA7-4072-AED0-272731A347A4}"/>
    <cellStyle name="Normal 2 4 7 2 2 2 3" xfId="12371" xr:uid="{3754A966-277C-44EE-9EC8-48E98866680B}"/>
    <cellStyle name="Normal 2 4 7 2 2 3" xfId="5117" xr:uid="{00000000-0005-0000-0000-0000DA100000}"/>
    <cellStyle name="Normal 2 4 7 2 2 3 2" xfId="14443" xr:uid="{F23EC79A-A3A6-4CDF-8403-95A68B43AF54}"/>
    <cellStyle name="Normal 2 4 7 2 2 4" xfId="9483" xr:uid="{3D7EFF6F-050D-4214-91CB-DF2673F23584}"/>
    <cellStyle name="Normal 2 4 7 2 2 5" xfId="10226" xr:uid="{4C56EFBC-A2EF-443E-8C9B-6C23CBD48FB6}"/>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6E2D28DB-63B4-4216-BE65-41190A4D3065}"/>
    <cellStyle name="Normal 2 4 7 2 3 2 3" xfId="12784" xr:uid="{B3E75518-EEA9-4308-A12E-ED045199373F}"/>
    <cellStyle name="Normal 2 4 7 2 3 3" xfId="5530" xr:uid="{00000000-0005-0000-0000-0000DE100000}"/>
    <cellStyle name="Normal 2 4 7 2 3 3 2" xfId="14856" xr:uid="{8D38DDC7-DE13-4349-BCC5-7A5C4B859900}"/>
    <cellStyle name="Normal 2 4 7 2 3 4" xfId="10639" xr:uid="{3A3DBD6A-7B97-4DCF-AA36-7AAF9D35B3D3}"/>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42344518-3146-45E7-9EF6-92CE3A2807A7}"/>
    <cellStyle name="Normal 2 4 7 2 4 2 3" xfId="13197" xr:uid="{4D62EE27-B901-4054-9200-DB1A0E6A16DD}"/>
    <cellStyle name="Normal 2 4 7 2 4 3" xfId="5943" xr:uid="{00000000-0005-0000-0000-0000E2100000}"/>
    <cellStyle name="Normal 2 4 7 2 4 3 2" xfId="15269" xr:uid="{C7CFA9F5-2A5C-4FCF-B3A6-04E575C18905}"/>
    <cellStyle name="Normal 2 4 7 2 4 4" xfId="11052" xr:uid="{01D5E901-23B3-437C-804A-189117C11F07}"/>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48207C58-BF31-4435-8784-CA197CDA2366}"/>
    <cellStyle name="Normal 2 4 7 2 5 2 3" xfId="13610" xr:uid="{860493B2-B098-4FAD-8DB8-76049BE6A2D4}"/>
    <cellStyle name="Normal 2 4 7 2 5 3" xfId="6356" xr:uid="{00000000-0005-0000-0000-0000E6100000}"/>
    <cellStyle name="Normal 2 4 7 2 5 3 2" xfId="15682" xr:uid="{D4A0A347-46A9-4A95-8389-0403CF5E1017}"/>
    <cellStyle name="Normal 2 4 7 2 5 4" xfId="11465" xr:uid="{C8632810-E0E6-43D0-8269-E75CDEC9C82C}"/>
    <cellStyle name="Normal 2 4 7 2 6" xfId="2486" xr:uid="{00000000-0005-0000-0000-0000E7100000}"/>
    <cellStyle name="Normal 2 4 7 2 6 2" xfId="6769" xr:uid="{00000000-0005-0000-0000-0000E8100000}"/>
    <cellStyle name="Normal 2 4 7 2 6 2 2" xfId="16095" xr:uid="{B16E554F-AA8B-478D-BC04-F195886408B2}"/>
    <cellStyle name="Normal 2 4 7 2 6 3" xfId="11878" xr:uid="{F2C60031-07AF-40AB-8224-ACB017ED6A71}"/>
    <cellStyle name="Normal 2 4 7 2 7" xfId="4703" xr:uid="{00000000-0005-0000-0000-0000E9100000}"/>
    <cellStyle name="Normal 2 4 7 2 7 2" xfId="14029" xr:uid="{16E57E18-61CC-4A11-9C52-71195DD005AB}"/>
    <cellStyle name="Normal 2 4 7 2 8" xfId="9058" xr:uid="{FCEC438E-EF6A-4A00-BFE3-0DA309169A82}"/>
    <cellStyle name="Normal 2 4 7 2 9" xfId="9812" xr:uid="{71658A2F-5D85-4A55-9910-339CFA7BAA45}"/>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1BA1D3AB-0C9A-4D97-9E6C-1C03381EB80A}"/>
    <cellStyle name="Normal 2 4 7 3 2 3" xfId="12370" xr:uid="{4C12902C-CCC7-430D-B219-78ACBF87F9FE}"/>
    <cellStyle name="Normal 2 4 7 3 3" xfId="5116" xr:uid="{00000000-0005-0000-0000-0000ED100000}"/>
    <cellStyle name="Normal 2 4 7 3 3 2" xfId="14442" xr:uid="{7BBFFFD1-3600-4B7F-A4A2-AC96748DB08F}"/>
    <cellStyle name="Normal 2 4 7 3 4" xfId="9276" xr:uid="{90A81E61-1719-41E4-8673-7681E805C2E0}"/>
    <cellStyle name="Normal 2 4 7 3 5" xfId="10225" xr:uid="{D10BA8C5-2CC3-4D21-9893-CF12F4A98075}"/>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9403CD66-EA80-4801-BDD0-DFB67E940D88}"/>
    <cellStyle name="Normal 2 4 7 4 2 3" xfId="12783" xr:uid="{D36BD409-DA38-40D2-9878-22C7D8F37D01}"/>
    <cellStyle name="Normal 2 4 7 4 3" xfId="5529" xr:uid="{00000000-0005-0000-0000-0000F1100000}"/>
    <cellStyle name="Normal 2 4 7 4 3 2" xfId="14855" xr:uid="{1753D1E0-A71A-4103-98AE-EF67DD89B5A8}"/>
    <cellStyle name="Normal 2 4 7 4 4" xfId="10638" xr:uid="{9CEEAB31-585A-4CA4-B172-9DFA047AE7BE}"/>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4C742A14-FBFF-4836-B4B8-3C1BFDBDD1D7}"/>
    <cellStyle name="Normal 2 4 7 5 2 3" xfId="13196" xr:uid="{124B3001-0664-4647-AB78-4A6A7AA21107}"/>
    <cellStyle name="Normal 2 4 7 5 3" xfId="5942" xr:uid="{00000000-0005-0000-0000-0000F5100000}"/>
    <cellStyle name="Normal 2 4 7 5 3 2" xfId="15268" xr:uid="{1DD33B74-CEFD-47F9-8382-11F0E005F80C}"/>
    <cellStyle name="Normal 2 4 7 5 4" xfId="11051" xr:uid="{841276E6-0B6E-4737-A892-A566B93F247F}"/>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B680812D-C555-457D-B2CC-D863A0FF9774}"/>
    <cellStyle name="Normal 2 4 7 6 2 3" xfId="13609" xr:uid="{788DA0E4-639F-4512-8BBA-A98CB5211F7B}"/>
    <cellStyle name="Normal 2 4 7 6 3" xfId="6355" xr:uid="{00000000-0005-0000-0000-0000F9100000}"/>
    <cellStyle name="Normal 2 4 7 6 3 2" xfId="15681" xr:uid="{20D0DDD2-ABA2-4FD0-9CE7-7345C857824F}"/>
    <cellStyle name="Normal 2 4 7 6 4" xfId="11464" xr:uid="{4976C524-82A3-42BD-BC47-EB606E3E310F}"/>
    <cellStyle name="Normal 2 4 7 7" xfId="2485" xr:uid="{00000000-0005-0000-0000-0000FA100000}"/>
    <cellStyle name="Normal 2 4 7 7 2" xfId="6768" xr:uid="{00000000-0005-0000-0000-0000FB100000}"/>
    <cellStyle name="Normal 2 4 7 7 2 2" xfId="16094" xr:uid="{F6D5BB71-74EA-40FF-9C34-6429F6B43D85}"/>
    <cellStyle name="Normal 2 4 7 7 3" xfId="11877" xr:uid="{F852533A-494E-483D-A001-2CCABF7D3357}"/>
    <cellStyle name="Normal 2 4 7 8" xfId="4702" xr:uid="{00000000-0005-0000-0000-0000FC100000}"/>
    <cellStyle name="Normal 2 4 7 8 2" xfId="14028" xr:uid="{99CD36B7-5341-40A7-B8D5-543524642628}"/>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55425E0D-538A-4C72-8944-DF685F805C31}"/>
    <cellStyle name="Normal 2 4 8 2 2 3" xfId="12372" xr:uid="{358BBF3B-9812-4617-87AC-FFC0EFBA4F30}"/>
    <cellStyle name="Normal 2 4 8 2 3" xfId="5118" xr:uid="{00000000-0005-0000-0000-000001110000}"/>
    <cellStyle name="Normal 2 4 8 2 3 2" xfId="14444" xr:uid="{49513C6D-F3F6-4E25-A5D1-5EC524D83692}"/>
    <cellStyle name="Normal 2 4 8 2 4" xfId="9392" xr:uid="{812B973E-E5C9-43CD-85B0-C8CA30BD9BF3}"/>
    <cellStyle name="Normal 2 4 8 2 5" xfId="10227" xr:uid="{EB6AF365-6062-4E59-9950-EC5F5F63F80F}"/>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8BF46733-96A7-4537-8D0F-8C830E0434CA}"/>
    <cellStyle name="Normal 2 4 8 3 2 3" xfId="12785" xr:uid="{6BDED3B1-5170-444E-8D2F-A6E3398260A9}"/>
    <cellStyle name="Normal 2 4 8 3 3" xfId="5531" xr:uid="{00000000-0005-0000-0000-000005110000}"/>
    <cellStyle name="Normal 2 4 8 3 3 2" xfId="14857" xr:uid="{5DFE0E8A-35AC-4EF7-87A1-6FD15C8F882A}"/>
    <cellStyle name="Normal 2 4 8 3 4" xfId="10640" xr:uid="{A8DB5ED2-04A5-47E4-82E4-972F76CFFA19}"/>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3F0FB70B-FF24-491B-9971-F72611FDE19D}"/>
    <cellStyle name="Normal 2 4 8 4 2 3" xfId="13198" xr:uid="{6E112266-98BA-4FF4-9726-C0D8DCFB4789}"/>
    <cellStyle name="Normal 2 4 8 4 3" xfId="5944" xr:uid="{00000000-0005-0000-0000-000009110000}"/>
    <cellStyle name="Normal 2 4 8 4 3 2" xfId="15270" xr:uid="{852B7EE0-1C3E-4734-B9ED-358613845B47}"/>
    <cellStyle name="Normal 2 4 8 4 4" xfId="11053" xr:uid="{FCAADA06-F77F-442E-BBB0-53C6AEB30531}"/>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8A77365C-86A0-4F31-99F7-FF69B0130921}"/>
    <cellStyle name="Normal 2 4 8 5 2 3" xfId="13611" xr:uid="{F646EC54-F4F7-45BE-A6D5-E2EECCDBBC52}"/>
    <cellStyle name="Normal 2 4 8 5 3" xfId="6357" xr:uid="{00000000-0005-0000-0000-00000D110000}"/>
    <cellStyle name="Normal 2 4 8 5 3 2" xfId="15683" xr:uid="{B4F45C65-6537-4FFC-AD88-373015295407}"/>
    <cellStyle name="Normal 2 4 8 5 4" xfId="11466" xr:uid="{55DA4A64-C4EB-4D5A-8CAB-4180794DD54D}"/>
    <cellStyle name="Normal 2 4 8 6" xfId="2487" xr:uid="{00000000-0005-0000-0000-00000E110000}"/>
    <cellStyle name="Normal 2 4 8 6 2" xfId="6770" xr:uid="{00000000-0005-0000-0000-00000F110000}"/>
    <cellStyle name="Normal 2 4 8 6 2 2" xfId="16096" xr:uid="{ED635706-F488-401D-B2B8-B23BB734C2DD}"/>
    <cellStyle name="Normal 2 4 8 6 3" xfId="11879" xr:uid="{5C0F65F8-BF85-4564-8618-9698908FD76B}"/>
    <cellStyle name="Normal 2 4 8 7" xfId="4704" xr:uid="{00000000-0005-0000-0000-000010110000}"/>
    <cellStyle name="Normal 2 4 8 7 2" xfId="14030" xr:uid="{77FF4CEC-C428-40A5-9C74-1FBE4B7BA2AD}"/>
    <cellStyle name="Normal 2 4 8 8" xfId="8967" xr:uid="{32AC97CD-D3FD-4AE1-A8B2-07BEA9D5DE52}"/>
    <cellStyle name="Normal 2 4 8 9" xfId="9813" xr:uid="{F3CE244D-963C-4A7E-8410-7CB44675E6DC}"/>
    <cellStyle name="Normal 2 4 9" xfId="9170" xr:uid="{5569C060-E090-4551-A44D-517EC3FD1834}"/>
    <cellStyle name="Normal 2 5" xfId="315" xr:uid="{00000000-0005-0000-0000-000011110000}"/>
    <cellStyle name="Normal 2 5 10" xfId="4705" xr:uid="{00000000-0005-0000-0000-000012110000}"/>
    <cellStyle name="Normal 2 5 10 2" xfId="14031" xr:uid="{9CDF0ED0-5989-4244-8D1B-98C6E4ECF7B5}"/>
    <cellStyle name="Normal 2 5 11" xfId="9814" xr:uid="{E368D7BE-4EF1-43AC-9263-63C36824EA1D}"/>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1" xfId="9815" xr:uid="{71C3F6BF-8301-41C2-9C00-D6CE614CBE20}"/>
    <cellStyle name="Normal 2 5 4 2" xfId="319" xr:uid="{00000000-0005-0000-0000-000016110000}"/>
    <cellStyle name="Normal 2 5 4 2 10" xfId="9816" xr:uid="{0F06CBF1-BE8C-4C05-8C93-9B38F4F1FF13}"/>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9F5C9ED7-6740-4BF6-9502-8DF5AA95EC93}"/>
    <cellStyle name="Normal 2 5 4 2 2 2 2 3" xfId="12376" xr:uid="{72CF20D9-83C7-40B4-AFD1-7B9B27EE9B0F}"/>
    <cellStyle name="Normal 2 5 4 2 2 2 3" xfId="5122" xr:uid="{00000000-0005-0000-0000-00001B110000}"/>
    <cellStyle name="Normal 2 5 4 2 2 2 3 2" xfId="14448" xr:uid="{3C7F6423-50AA-4600-B0A0-FAF5B5F76C49}"/>
    <cellStyle name="Normal 2 5 4 2 2 2 4" xfId="9551" xr:uid="{392D7741-6781-4EA5-9C28-040053C1B05B}"/>
    <cellStyle name="Normal 2 5 4 2 2 2 5" xfId="10231" xr:uid="{943CC3FA-2322-4435-AAF0-3DB4EE23D212}"/>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85C215A1-AA3F-4AD2-8111-AEE4FC18303A}"/>
    <cellStyle name="Normal 2 5 4 2 2 3 2 3" xfId="12789" xr:uid="{863C34A1-2CBE-454D-82CA-3EEEE4985ED5}"/>
    <cellStyle name="Normal 2 5 4 2 2 3 3" xfId="5535" xr:uid="{00000000-0005-0000-0000-00001F110000}"/>
    <cellStyle name="Normal 2 5 4 2 2 3 3 2" xfId="14861" xr:uid="{5283D77F-ACC9-45AF-BBFA-0F2E4C620A37}"/>
    <cellStyle name="Normal 2 5 4 2 2 3 4" xfId="10644" xr:uid="{D33BC8FB-B201-4DD7-B133-A7B4C66069B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60618BA0-B3C3-43C3-878B-2064BF18F9FB}"/>
    <cellStyle name="Normal 2 5 4 2 2 4 2 3" xfId="13202" xr:uid="{B353F1EF-F07D-443C-AE00-FF8FE9BAFE4E}"/>
    <cellStyle name="Normal 2 5 4 2 2 4 3" xfId="5948" xr:uid="{00000000-0005-0000-0000-000023110000}"/>
    <cellStyle name="Normal 2 5 4 2 2 4 3 2" xfId="15274" xr:uid="{6E9AA26E-9FF1-4215-BACE-0C8A02CFB5B9}"/>
    <cellStyle name="Normal 2 5 4 2 2 4 4" xfId="11057" xr:uid="{87F0C2C0-2301-480A-93C8-AE9BCC0C437F}"/>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C060A12D-C84B-4543-A064-377A80C71E6D}"/>
    <cellStyle name="Normal 2 5 4 2 2 5 2 3" xfId="13615" xr:uid="{A832423D-2F6E-47D5-946E-0DB16CF4A705}"/>
    <cellStyle name="Normal 2 5 4 2 2 5 3" xfId="6361" xr:uid="{00000000-0005-0000-0000-000027110000}"/>
    <cellStyle name="Normal 2 5 4 2 2 5 3 2" xfId="15687" xr:uid="{D6BD8D86-FDAD-4676-83CA-6337D091CF72}"/>
    <cellStyle name="Normal 2 5 4 2 2 5 4" xfId="11470" xr:uid="{CDA3A03F-CFD1-4F42-875C-1EC3377A1118}"/>
    <cellStyle name="Normal 2 5 4 2 2 6" xfId="2491" xr:uid="{00000000-0005-0000-0000-000028110000}"/>
    <cellStyle name="Normal 2 5 4 2 2 6 2" xfId="6774" xr:uid="{00000000-0005-0000-0000-000029110000}"/>
    <cellStyle name="Normal 2 5 4 2 2 6 2 2" xfId="16100" xr:uid="{8FCD8642-2062-422A-8C84-2530FD3D3C79}"/>
    <cellStyle name="Normal 2 5 4 2 2 6 3" xfId="11883" xr:uid="{314657FC-31A2-4547-AAB9-25D8C4A027D4}"/>
    <cellStyle name="Normal 2 5 4 2 2 7" xfId="4708" xr:uid="{00000000-0005-0000-0000-00002A110000}"/>
    <cellStyle name="Normal 2 5 4 2 2 7 2" xfId="14034" xr:uid="{73CCAC96-2397-45D0-A2A5-7FB43488C17D}"/>
    <cellStyle name="Normal 2 5 4 2 2 8" xfId="9126" xr:uid="{C2CF4AFD-4082-4555-941B-6E9759C32D63}"/>
    <cellStyle name="Normal 2 5 4 2 2 9" xfId="9817" xr:uid="{E2562B36-EF53-4770-BE21-1E79D7C88582}"/>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6FEDCB73-B118-43FE-A182-0852526973F4}"/>
    <cellStyle name="Normal 2 5 4 2 3 2 3" xfId="12375" xr:uid="{7DE778CC-795D-4BD9-8FB6-19BB6CBB2B26}"/>
    <cellStyle name="Normal 2 5 4 2 3 3" xfId="5121" xr:uid="{00000000-0005-0000-0000-00002E110000}"/>
    <cellStyle name="Normal 2 5 4 2 3 3 2" xfId="14447" xr:uid="{EC8146B0-B5DA-4668-8ECA-2912258B3629}"/>
    <cellStyle name="Normal 2 5 4 2 3 4" xfId="9344" xr:uid="{207B8A34-09D9-4349-A9C7-5A5A998C6B6F}"/>
    <cellStyle name="Normal 2 5 4 2 3 5" xfId="10230" xr:uid="{F99107A9-D85C-4636-AAF2-C70E4A8E5D95}"/>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A7B71D93-2146-40E8-AA2A-35E93D4DF8C8}"/>
    <cellStyle name="Normal 2 5 4 2 4 2 3" xfId="12788" xr:uid="{F63C9DE0-BF12-435A-9BED-C8A6DB972D27}"/>
    <cellStyle name="Normal 2 5 4 2 4 3" xfId="5534" xr:uid="{00000000-0005-0000-0000-000032110000}"/>
    <cellStyle name="Normal 2 5 4 2 4 3 2" xfId="14860" xr:uid="{DFCCE4D8-BEA5-442B-8028-3C958C0C859E}"/>
    <cellStyle name="Normal 2 5 4 2 4 4" xfId="10643" xr:uid="{90C1D094-35D8-4967-9B0F-F59BDA356953}"/>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FC644139-9611-4FC3-89DF-F1BE446D0C7A}"/>
    <cellStyle name="Normal 2 5 4 2 5 2 3" xfId="13201" xr:uid="{48B5C643-BACA-4140-9C29-84CE58F98929}"/>
    <cellStyle name="Normal 2 5 4 2 5 3" xfId="5947" xr:uid="{00000000-0005-0000-0000-000036110000}"/>
    <cellStyle name="Normal 2 5 4 2 5 3 2" xfId="15273" xr:uid="{786C77AC-AAEF-4A48-A09D-331283CAA93F}"/>
    <cellStyle name="Normal 2 5 4 2 5 4" xfId="11056" xr:uid="{3D6ECD16-3761-4530-85CB-334B8325EC5E}"/>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4A7B7130-78EF-406C-84BD-F9DE7338A26B}"/>
    <cellStyle name="Normal 2 5 4 2 6 2 3" xfId="13614" xr:uid="{40AE828C-FA7C-43B9-BA5B-2B93C013B6A9}"/>
    <cellStyle name="Normal 2 5 4 2 6 3" xfId="6360" xr:uid="{00000000-0005-0000-0000-00003A110000}"/>
    <cellStyle name="Normal 2 5 4 2 6 3 2" xfId="15686" xr:uid="{D5B62CAB-6F0D-44CB-9C89-116E6F1F69F4}"/>
    <cellStyle name="Normal 2 5 4 2 6 4" xfId="11469" xr:uid="{FB70D266-D6AA-479B-A308-AE67C54AD358}"/>
    <cellStyle name="Normal 2 5 4 2 7" xfId="2490" xr:uid="{00000000-0005-0000-0000-00003B110000}"/>
    <cellStyle name="Normal 2 5 4 2 7 2" xfId="6773" xr:uid="{00000000-0005-0000-0000-00003C110000}"/>
    <cellStyle name="Normal 2 5 4 2 7 2 2" xfId="16099" xr:uid="{A54B21EE-FAB8-4271-9B74-6C59E9324043}"/>
    <cellStyle name="Normal 2 5 4 2 7 3" xfId="11882" xr:uid="{152E1264-8D78-4306-9570-07849C2D4B65}"/>
    <cellStyle name="Normal 2 5 4 2 8" xfId="4707" xr:uid="{00000000-0005-0000-0000-00003D110000}"/>
    <cellStyle name="Normal 2 5 4 2 8 2" xfId="14033" xr:uid="{129B7505-AD55-442D-8D0E-302E52CEA22C}"/>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AD4EB2EB-7E41-4B15-AEEA-49E4EE7F66D2}"/>
    <cellStyle name="Normal 2 5 4 3 2 2 3" xfId="12377" xr:uid="{7066FB2F-CF9C-4403-B9F0-3EA33050E886}"/>
    <cellStyle name="Normal 2 5 4 3 2 3" xfId="5123" xr:uid="{00000000-0005-0000-0000-000042110000}"/>
    <cellStyle name="Normal 2 5 4 3 2 3 2" xfId="14449" xr:uid="{5327D743-FAC0-4FDF-AC49-1C9F50966DC0}"/>
    <cellStyle name="Normal 2 5 4 3 2 4" xfId="9448" xr:uid="{0C1738F2-697E-4430-8A3F-E67747B3EDB0}"/>
    <cellStyle name="Normal 2 5 4 3 2 5" xfId="10232" xr:uid="{C068B8C4-F402-43AD-B42A-F9E303E59A48}"/>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943BF688-64D9-45CD-B512-5059E0F52F8F}"/>
    <cellStyle name="Normal 2 5 4 3 3 2 3" xfId="12790" xr:uid="{3B1E0B1F-6956-473D-92B4-7D4B4044BDA3}"/>
    <cellStyle name="Normal 2 5 4 3 3 3" xfId="5536" xr:uid="{00000000-0005-0000-0000-000046110000}"/>
    <cellStyle name="Normal 2 5 4 3 3 3 2" xfId="14862" xr:uid="{C1A7EA6D-8AA1-4F3C-A44C-ABA02D2FD1D3}"/>
    <cellStyle name="Normal 2 5 4 3 3 4" xfId="10645" xr:uid="{BB9ADD6F-F624-4DA5-B401-1A7E2376DEEE}"/>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DBEE2488-F149-4ED9-B59F-E91B43CCD05A}"/>
    <cellStyle name="Normal 2 5 4 3 4 2 3" xfId="13203" xr:uid="{36FA994B-8C4E-4AF4-9E76-5BCE9EC9A5C5}"/>
    <cellStyle name="Normal 2 5 4 3 4 3" xfId="5949" xr:uid="{00000000-0005-0000-0000-00004A110000}"/>
    <cellStyle name="Normal 2 5 4 3 4 3 2" xfId="15275" xr:uid="{AB70F433-1B20-4914-A24F-70F702BAE1C2}"/>
    <cellStyle name="Normal 2 5 4 3 4 4" xfId="11058" xr:uid="{35CBB338-611E-4CC3-A397-2A357AB42CAB}"/>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5589980F-E469-4D5D-A41D-9D2029AC13E1}"/>
    <cellStyle name="Normal 2 5 4 3 5 2 3" xfId="13616" xr:uid="{C0A0A730-00FA-45BC-A640-559048B967DD}"/>
    <cellStyle name="Normal 2 5 4 3 5 3" xfId="6362" xr:uid="{00000000-0005-0000-0000-00004E110000}"/>
    <cellStyle name="Normal 2 5 4 3 5 3 2" xfId="15688" xr:uid="{15AEA5D5-225A-4D75-AEF6-CBDFADA90D57}"/>
    <cellStyle name="Normal 2 5 4 3 5 4" xfId="11471" xr:uid="{95D68BE6-26E7-48C9-BEF7-471520593C8D}"/>
    <cellStyle name="Normal 2 5 4 3 6" xfId="2492" xr:uid="{00000000-0005-0000-0000-00004F110000}"/>
    <cellStyle name="Normal 2 5 4 3 6 2" xfId="6775" xr:uid="{00000000-0005-0000-0000-000050110000}"/>
    <cellStyle name="Normal 2 5 4 3 6 2 2" xfId="16101" xr:uid="{857BD38B-F56F-4ECA-9A81-7C23199CFE3A}"/>
    <cellStyle name="Normal 2 5 4 3 6 3" xfId="11884" xr:uid="{FF978990-8F21-4EA8-989C-8243E5F26AE5}"/>
    <cellStyle name="Normal 2 5 4 3 7" xfId="4709" xr:uid="{00000000-0005-0000-0000-000051110000}"/>
    <cellStyle name="Normal 2 5 4 3 7 2" xfId="14035" xr:uid="{19B7F609-B7DB-418C-AB26-9B493044606B}"/>
    <cellStyle name="Normal 2 5 4 3 8" xfId="9023" xr:uid="{9B869639-3DD4-4511-AD70-D5125D34938F}"/>
    <cellStyle name="Normal 2 5 4 3 9" xfId="9818" xr:uid="{D73C7486-534E-4076-8AD0-2D34ADEF0CB7}"/>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C4AA7982-F50B-4469-845A-8EF2A0672600}"/>
    <cellStyle name="Normal 2 5 4 4 2 3" xfId="12374" xr:uid="{A20E6480-CCEE-4482-A341-9F2E61B9C3C2}"/>
    <cellStyle name="Normal 2 5 4 4 3" xfId="5120" xr:uid="{00000000-0005-0000-0000-000055110000}"/>
    <cellStyle name="Normal 2 5 4 4 3 2" xfId="14446" xr:uid="{5BBBBAAC-95CA-4DA0-97DE-80097FB3B3C6}"/>
    <cellStyle name="Normal 2 5 4 4 4" xfId="9241" xr:uid="{2BD2F05F-E4C9-46B4-B3C9-F0D081C1F38F}"/>
    <cellStyle name="Normal 2 5 4 4 5" xfId="10229" xr:uid="{99B9B55F-3261-4742-B0CD-969B24C43AF9}"/>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6A00E88C-A140-4739-976F-4E23D89DCC6C}"/>
    <cellStyle name="Normal 2 5 4 5 2 3" xfId="12787" xr:uid="{D9928231-A187-4C05-AD1E-DDAFE27B60FD}"/>
    <cellStyle name="Normal 2 5 4 5 3" xfId="5533" xr:uid="{00000000-0005-0000-0000-000059110000}"/>
    <cellStyle name="Normal 2 5 4 5 3 2" xfId="14859" xr:uid="{A2113080-4244-48BE-9F53-A045704A7693}"/>
    <cellStyle name="Normal 2 5 4 5 4" xfId="10642" xr:uid="{98BA1DE6-6E14-444E-965B-0C95A34EDA40}"/>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D802C3FE-AAA7-451F-A6DC-26D6DC102F6C}"/>
    <cellStyle name="Normal 2 5 4 6 2 3" xfId="13200" xr:uid="{B0FA3BE8-3ED7-4DAC-89F6-872DFC3669BD}"/>
    <cellStyle name="Normal 2 5 4 6 3" xfId="5946" xr:uid="{00000000-0005-0000-0000-00005D110000}"/>
    <cellStyle name="Normal 2 5 4 6 3 2" xfId="15272" xr:uid="{2D25A03E-74E4-48D8-8844-1F31788B12B6}"/>
    <cellStyle name="Normal 2 5 4 6 4" xfId="11055" xr:uid="{8028CC0D-1459-4D23-9DEA-86304B61DC4F}"/>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F3A59FD1-BA1A-4B08-83C0-6E4CEE328FD0}"/>
    <cellStyle name="Normal 2 5 4 7 2 3" xfId="13613" xr:uid="{F6F22E45-DAA0-410F-AAE6-CCBD2C96DDF3}"/>
    <cellStyle name="Normal 2 5 4 7 3" xfId="6359" xr:uid="{00000000-0005-0000-0000-000061110000}"/>
    <cellStyle name="Normal 2 5 4 7 3 2" xfId="15685" xr:uid="{A415E41A-7FA7-478B-B3DA-5955396C3959}"/>
    <cellStyle name="Normal 2 5 4 7 4" xfId="11468" xr:uid="{6729B2F7-2B5B-4BF3-AF16-43F9FF5EBD8C}"/>
    <cellStyle name="Normal 2 5 4 8" xfId="2489" xr:uid="{00000000-0005-0000-0000-000062110000}"/>
    <cellStyle name="Normal 2 5 4 8 2" xfId="6772" xr:uid="{00000000-0005-0000-0000-000063110000}"/>
    <cellStyle name="Normal 2 5 4 8 2 2" xfId="16098" xr:uid="{82C8A768-328F-4F06-8E68-8B86299DB5EF}"/>
    <cellStyle name="Normal 2 5 4 8 3" xfId="11881" xr:uid="{610275ED-26A9-425F-9437-DC0B907C4945}"/>
    <cellStyle name="Normal 2 5 4 9" xfId="4706" xr:uid="{00000000-0005-0000-0000-000064110000}"/>
    <cellStyle name="Normal 2 5 4 9 2" xfId="14032" xr:uid="{FF2D0054-76F8-494C-8D30-D618977AB020}"/>
    <cellStyle name="Normal 2 5 5" xfId="803" xr:uid="{00000000-0005-0000-0000-000065110000}"/>
    <cellStyle name="Normal 2 5 5 2" xfId="3042" xr:uid="{00000000-0005-0000-0000-000066110000}"/>
    <cellStyle name="Normal 2 5 5 2 2" xfId="7264" xr:uid="{00000000-0005-0000-0000-000067110000}"/>
    <cellStyle name="Normal 2 5 5 2 2 2" xfId="16590" xr:uid="{2718A96A-43C5-40A1-A9B8-C101DE89A65D}"/>
    <cellStyle name="Normal 2 5 5 2 3" xfId="12373" xr:uid="{68506146-F7AA-4A60-BC9B-4A9886D5690B}"/>
    <cellStyle name="Normal 2 5 5 3" xfId="5119" xr:uid="{00000000-0005-0000-0000-000068110000}"/>
    <cellStyle name="Normal 2 5 5 3 2" xfId="14445" xr:uid="{A684C43F-C5AE-4550-A03B-6831A4435F48}"/>
    <cellStyle name="Normal 2 5 5 4" xfId="9606" xr:uid="{3AE4D77A-44EE-40C2-9F71-05FBDE2746B2}"/>
    <cellStyle name="Normal 2 5 5 5" xfId="10228" xr:uid="{D604E2C0-0C97-4554-88EE-71BF8AC42E3B}"/>
    <cellStyle name="Normal 2 5 6" xfId="1225" xr:uid="{00000000-0005-0000-0000-000069110000}"/>
    <cellStyle name="Normal 2 5 6 2" xfId="3455" xr:uid="{00000000-0005-0000-0000-00006A110000}"/>
    <cellStyle name="Normal 2 5 6 2 2" xfId="7677" xr:uid="{00000000-0005-0000-0000-00006B110000}"/>
    <cellStyle name="Normal 2 5 6 2 2 2" xfId="17003" xr:uid="{5C05D82C-2AFD-4D48-B3FB-39741E047C08}"/>
    <cellStyle name="Normal 2 5 6 2 3" xfId="12786" xr:uid="{819FACBC-CB17-4E30-8D9F-54F9C337B14F}"/>
    <cellStyle name="Normal 2 5 6 3" xfId="5532" xr:uid="{00000000-0005-0000-0000-00006C110000}"/>
    <cellStyle name="Normal 2 5 6 3 2" xfId="14858" xr:uid="{6FE82AD8-D01E-4927-BA6B-D445C68C96E9}"/>
    <cellStyle name="Normal 2 5 6 4" xfId="10641" xr:uid="{071B5D6E-4E5C-4B58-BC48-A74BCA95F819}"/>
    <cellStyle name="Normal 2 5 7" xfId="1638" xr:uid="{00000000-0005-0000-0000-00006D110000}"/>
    <cellStyle name="Normal 2 5 7 2" xfId="3868" xr:uid="{00000000-0005-0000-0000-00006E110000}"/>
    <cellStyle name="Normal 2 5 7 2 2" xfId="8090" xr:uid="{00000000-0005-0000-0000-00006F110000}"/>
    <cellStyle name="Normal 2 5 7 2 2 2" xfId="17416" xr:uid="{33E8D21D-121D-4F05-81DB-283A83DBD6D3}"/>
    <cellStyle name="Normal 2 5 7 2 3" xfId="13199" xr:uid="{207590AB-DB25-4834-94A4-34489D157FDD}"/>
    <cellStyle name="Normal 2 5 7 3" xfId="5945" xr:uid="{00000000-0005-0000-0000-000070110000}"/>
    <cellStyle name="Normal 2 5 7 3 2" xfId="15271" xr:uid="{BB313EB1-7DF2-4BA5-BE32-BA539167D905}"/>
    <cellStyle name="Normal 2 5 7 4" xfId="11054" xr:uid="{AC0D9EE6-DCF9-4B66-A7AF-8D7FDBFA1CC1}"/>
    <cellStyle name="Normal 2 5 8" xfId="2052" xr:uid="{00000000-0005-0000-0000-000071110000}"/>
    <cellStyle name="Normal 2 5 8 2" xfId="4281" xr:uid="{00000000-0005-0000-0000-000072110000}"/>
    <cellStyle name="Normal 2 5 8 2 2" xfId="8503" xr:uid="{00000000-0005-0000-0000-000073110000}"/>
    <cellStyle name="Normal 2 5 8 2 2 2" xfId="17829" xr:uid="{6E9381D6-3E79-4093-AD08-E503FF0DCA7D}"/>
    <cellStyle name="Normal 2 5 8 2 3" xfId="13612" xr:uid="{FEF21C20-A284-4178-BB1B-74EE6824CF7E}"/>
    <cellStyle name="Normal 2 5 8 3" xfId="6358" xr:uid="{00000000-0005-0000-0000-000074110000}"/>
    <cellStyle name="Normal 2 5 8 3 2" xfId="15684" xr:uid="{EAC470B0-E0DF-4085-8810-6AF75DE640D0}"/>
    <cellStyle name="Normal 2 5 8 4" xfId="11467" xr:uid="{61BB3CF5-DEBC-468E-A64D-3510747A9DC1}"/>
    <cellStyle name="Normal 2 5 9" xfId="2488" xr:uid="{00000000-0005-0000-0000-000075110000}"/>
    <cellStyle name="Normal 2 5 9 2" xfId="6771" xr:uid="{00000000-0005-0000-0000-000076110000}"/>
    <cellStyle name="Normal 2 5 9 2 2" xfId="16097" xr:uid="{04AB1BDE-2EFB-45A8-A5B3-975B9E4D4FDB}"/>
    <cellStyle name="Normal 2 5 9 3" xfId="11880" xr:uid="{7B969D4E-3A94-46E8-8908-CA918EF4B661}"/>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81F9FA79-7E69-4ED1-9F00-4E6A6DE41F34}"/>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1" xfId="9820" xr:uid="{EDF0C4F6-153A-48F5-9636-40299C6976CC}"/>
    <cellStyle name="Normal 3 2 3 2" xfId="327" xr:uid="{00000000-0005-0000-0000-00007F110000}"/>
    <cellStyle name="Normal 3 2 3 2 10" xfId="9821" xr:uid="{D6664397-C730-416E-A25D-33D122C9BA18}"/>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30B9C2F7-2951-4C69-A5F6-8671634AE688}"/>
    <cellStyle name="Normal 3 2 3 2 2 2 2 3" xfId="12381" xr:uid="{8FD78BA7-C1D7-4BB8-8E4D-DC697FA0F938}"/>
    <cellStyle name="Normal 3 2 3 2 2 2 3" xfId="5127" xr:uid="{00000000-0005-0000-0000-000084110000}"/>
    <cellStyle name="Normal 3 2 3 2 2 2 3 2" xfId="14453" xr:uid="{5ADD9A6F-A2B2-4A6B-9034-2758847A29B2}"/>
    <cellStyle name="Normal 3 2 3 2 2 2 4" xfId="9552" xr:uid="{54198C1B-8B77-4C07-BFED-28C4D4E00A0C}"/>
    <cellStyle name="Normal 3 2 3 2 2 2 5" xfId="10236" xr:uid="{AFC633B7-B98D-4241-AF3E-0A65144D512A}"/>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96589219-4934-433A-ABF4-39396A8D6453}"/>
    <cellStyle name="Normal 3 2 3 2 2 3 2 3" xfId="12794" xr:uid="{A80F7A2C-3B77-4D6D-8221-251C9EC94C58}"/>
    <cellStyle name="Normal 3 2 3 2 2 3 3" xfId="5540" xr:uid="{00000000-0005-0000-0000-000088110000}"/>
    <cellStyle name="Normal 3 2 3 2 2 3 3 2" xfId="14866" xr:uid="{8D8515E2-548E-42B6-902B-3116C5897D44}"/>
    <cellStyle name="Normal 3 2 3 2 2 3 4" xfId="10649" xr:uid="{FEF6775C-E8A2-4E28-B690-B97D119433FC}"/>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DD53C1FA-D3C3-4238-93A3-F96818B14928}"/>
    <cellStyle name="Normal 3 2 3 2 2 4 2 3" xfId="13207" xr:uid="{F504089B-3289-4352-A55D-BF534325001B}"/>
    <cellStyle name="Normal 3 2 3 2 2 4 3" xfId="5953" xr:uid="{00000000-0005-0000-0000-00008C110000}"/>
    <cellStyle name="Normal 3 2 3 2 2 4 3 2" xfId="15279" xr:uid="{FF91E9EE-6A65-4144-9D11-45FF453B34EB}"/>
    <cellStyle name="Normal 3 2 3 2 2 4 4" xfId="11062" xr:uid="{03434E98-2410-408D-9885-1A6D59AA83BA}"/>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DE09D8B4-EE61-45C9-A58A-1EA2D05063B6}"/>
    <cellStyle name="Normal 3 2 3 2 2 5 2 3" xfId="13620" xr:uid="{504CFFD3-67C8-46E3-995A-931D1CD539B7}"/>
    <cellStyle name="Normal 3 2 3 2 2 5 3" xfId="6366" xr:uid="{00000000-0005-0000-0000-000090110000}"/>
    <cellStyle name="Normal 3 2 3 2 2 5 3 2" xfId="15692" xr:uid="{5D6480CF-AE69-4EE2-B2A2-B8F9ED72B4D2}"/>
    <cellStyle name="Normal 3 2 3 2 2 5 4" xfId="11475" xr:uid="{DFA817B9-CB24-4624-B541-B4D1AB36E1D6}"/>
    <cellStyle name="Normal 3 2 3 2 2 6" xfId="2496" xr:uid="{00000000-0005-0000-0000-000091110000}"/>
    <cellStyle name="Normal 3 2 3 2 2 6 2" xfId="6779" xr:uid="{00000000-0005-0000-0000-000092110000}"/>
    <cellStyle name="Normal 3 2 3 2 2 6 2 2" xfId="16105" xr:uid="{085C85DD-17C2-4758-85ED-C2293B561690}"/>
    <cellStyle name="Normal 3 2 3 2 2 6 3" xfId="11888" xr:uid="{31F8AA7E-5A43-41DB-BD0F-16269462872A}"/>
    <cellStyle name="Normal 3 2 3 2 2 7" xfId="4713" xr:uid="{00000000-0005-0000-0000-000093110000}"/>
    <cellStyle name="Normal 3 2 3 2 2 7 2" xfId="14039" xr:uid="{75BE8599-AE68-4EF5-A63C-2CED45B1EC54}"/>
    <cellStyle name="Normal 3 2 3 2 2 8" xfId="9127" xr:uid="{0583B12A-AAD6-4358-9C0C-42D6EBC3DFD8}"/>
    <cellStyle name="Normal 3 2 3 2 2 9" xfId="9822" xr:uid="{33A9CBFF-183C-4660-BEEC-D4F064F92E65}"/>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5C42C7C6-4E1E-4468-8B5B-E8163773EA67}"/>
    <cellStyle name="Normal 3 2 3 2 3 2 3" xfId="12380" xr:uid="{254D138B-7C7A-4980-8C0C-56AA0D9855CF}"/>
    <cellStyle name="Normal 3 2 3 2 3 3" xfId="5126" xr:uid="{00000000-0005-0000-0000-000097110000}"/>
    <cellStyle name="Normal 3 2 3 2 3 3 2" xfId="14452" xr:uid="{EE89F005-69FF-4F08-B1E2-6A02843905A8}"/>
    <cellStyle name="Normal 3 2 3 2 3 4" xfId="9345" xr:uid="{C34A3811-3C7F-4E99-A17A-CCF74A426C86}"/>
    <cellStyle name="Normal 3 2 3 2 3 5" xfId="10235" xr:uid="{A78A7817-C564-4248-86F0-7C3E04DB5750}"/>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BBDFDFA7-ACD5-4073-A7C5-0DAB424C80BD}"/>
    <cellStyle name="Normal 3 2 3 2 4 2 3" xfId="12793" xr:uid="{5E090BB6-5FF9-43F5-BE58-BB62FB88314D}"/>
    <cellStyle name="Normal 3 2 3 2 4 3" xfId="5539" xr:uid="{00000000-0005-0000-0000-00009B110000}"/>
    <cellStyle name="Normal 3 2 3 2 4 3 2" xfId="14865" xr:uid="{6D1348B8-B3D8-48BB-A3D5-FAFFCCF0BEFB}"/>
    <cellStyle name="Normal 3 2 3 2 4 4" xfId="10648" xr:uid="{FB6D3727-AE9E-4521-84AF-6D0107D3F544}"/>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C9B30F3D-6367-47EB-9007-BE064856497F}"/>
    <cellStyle name="Normal 3 2 3 2 5 2 3" xfId="13206" xr:uid="{AE64C57D-FDE4-47A1-B1B7-66CA12207F8E}"/>
    <cellStyle name="Normal 3 2 3 2 5 3" xfId="5952" xr:uid="{00000000-0005-0000-0000-00009F110000}"/>
    <cellStyle name="Normal 3 2 3 2 5 3 2" xfId="15278" xr:uid="{C50D965E-C103-4DB8-A359-CA0814515A5F}"/>
    <cellStyle name="Normal 3 2 3 2 5 4" xfId="11061" xr:uid="{C7E0124B-B492-4AB4-A55F-06FBEBC5C614}"/>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6961A107-EEC0-4012-8AD5-83CAE161DC35}"/>
    <cellStyle name="Normal 3 2 3 2 6 2 3" xfId="13619" xr:uid="{6F4FB21B-934E-4841-B3B9-96AE5B42F099}"/>
    <cellStyle name="Normal 3 2 3 2 6 3" xfId="6365" xr:uid="{00000000-0005-0000-0000-0000A3110000}"/>
    <cellStyle name="Normal 3 2 3 2 6 3 2" xfId="15691" xr:uid="{E5A1E648-0D5C-4BCB-8866-27275F82115A}"/>
    <cellStyle name="Normal 3 2 3 2 6 4" xfId="11474" xr:uid="{69DE082B-27E5-43D2-AA25-A8EECEA7B032}"/>
    <cellStyle name="Normal 3 2 3 2 7" xfId="2495" xr:uid="{00000000-0005-0000-0000-0000A4110000}"/>
    <cellStyle name="Normal 3 2 3 2 7 2" xfId="6778" xr:uid="{00000000-0005-0000-0000-0000A5110000}"/>
    <cellStyle name="Normal 3 2 3 2 7 2 2" xfId="16104" xr:uid="{E8F22F66-E310-47A3-91A0-91665CD696EF}"/>
    <cellStyle name="Normal 3 2 3 2 7 3" xfId="11887" xr:uid="{47CA4F68-03EA-4BA5-B4C2-4488E8D3176A}"/>
    <cellStyle name="Normal 3 2 3 2 8" xfId="4712" xr:uid="{00000000-0005-0000-0000-0000A6110000}"/>
    <cellStyle name="Normal 3 2 3 2 8 2" xfId="14038" xr:uid="{D719D50E-3CC4-4410-A73E-099BEC69A5F4}"/>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F85CAB81-5610-4191-9B0D-A8963C2B25BC}"/>
    <cellStyle name="Normal 3 2 3 3 2 2 3" xfId="12382" xr:uid="{D79C2FD2-7579-457D-8322-7E8640CD15B4}"/>
    <cellStyle name="Normal 3 2 3 3 2 3" xfId="5128" xr:uid="{00000000-0005-0000-0000-0000AB110000}"/>
    <cellStyle name="Normal 3 2 3 3 2 3 2" xfId="14454" xr:uid="{348B08D0-EBD6-409D-8625-3BDCB3F0B2B3}"/>
    <cellStyle name="Normal 3 2 3 3 2 4" xfId="9449" xr:uid="{7F58A2DC-DF16-44D1-8D09-04DD41EF4468}"/>
    <cellStyle name="Normal 3 2 3 3 2 5" xfId="10237" xr:uid="{E7E5514D-8879-45E6-A47D-4E764F81B023}"/>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DA002CCB-299E-4347-80D2-2056312CD8AB}"/>
    <cellStyle name="Normal 3 2 3 3 3 2 3" xfId="12795" xr:uid="{46B539FA-4347-446B-86B8-5AD98F1D6BE3}"/>
    <cellStyle name="Normal 3 2 3 3 3 3" xfId="5541" xr:uid="{00000000-0005-0000-0000-0000AF110000}"/>
    <cellStyle name="Normal 3 2 3 3 3 3 2" xfId="14867" xr:uid="{EB6B52ED-5D59-4F6D-BCEB-74FDB9874632}"/>
    <cellStyle name="Normal 3 2 3 3 3 4" xfId="10650" xr:uid="{FEE2513A-04FC-462F-88B3-49FCC6C5AA8B}"/>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20AE3F4A-6D8B-40C6-B811-57437D803FD1}"/>
    <cellStyle name="Normal 3 2 3 3 4 2 3" xfId="13208" xr:uid="{17F16210-11C6-4005-9F08-5FCE6E8E1428}"/>
    <cellStyle name="Normal 3 2 3 3 4 3" xfId="5954" xr:uid="{00000000-0005-0000-0000-0000B3110000}"/>
    <cellStyle name="Normal 3 2 3 3 4 3 2" xfId="15280" xr:uid="{92222708-ECE7-4D2D-BB6B-5027B8EE8873}"/>
    <cellStyle name="Normal 3 2 3 3 4 4" xfId="11063" xr:uid="{A2590327-4BE5-4452-86D4-D90166E37139}"/>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518B324F-9878-4C7B-B96E-04C98D17F7A9}"/>
    <cellStyle name="Normal 3 2 3 3 5 2 3" xfId="13621" xr:uid="{E25D4BF2-DCD4-4B33-9939-B5713CDE7F68}"/>
    <cellStyle name="Normal 3 2 3 3 5 3" xfId="6367" xr:uid="{00000000-0005-0000-0000-0000B7110000}"/>
    <cellStyle name="Normal 3 2 3 3 5 3 2" xfId="15693" xr:uid="{EF015ED2-2ABE-4A87-9086-DEC8F239D033}"/>
    <cellStyle name="Normal 3 2 3 3 5 4" xfId="11476" xr:uid="{E0AC590B-F7D1-4F2A-908C-C0EB9C84B01D}"/>
    <cellStyle name="Normal 3 2 3 3 6" xfId="2497" xr:uid="{00000000-0005-0000-0000-0000B8110000}"/>
    <cellStyle name="Normal 3 2 3 3 6 2" xfId="6780" xr:uid="{00000000-0005-0000-0000-0000B9110000}"/>
    <cellStyle name="Normal 3 2 3 3 6 2 2" xfId="16106" xr:uid="{A60E8C1F-4ADA-4FC1-AEC1-09A369B17CA5}"/>
    <cellStyle name="Normal 3 2 3 3 6 3" xfId="11889" xr:uid="{FACF6852-9F27-4EBB-A496-540BAE6DAFD3}"/>
    <cellStyle name="Normal 3 2 3 3 7" xfId="4714" xr:uid="{00000000-0005-0000-0000-0000BA110000}"/>
    <cellStyle name="Normal 3 2 3 3 7 2" xfId="14040" xr:uid="{FDBCCE84-83AB-4946-BDBE-B82957391E14}"/>
    <cellStyle name="Normal 3 2 3 3 8" xfId="9024" xr:uid="{AE2F680F-18A3-47B5-ADCF-6BEAD71D50CE}"/>
    <cellStyle name="Normal 3 2 3 3 9" xfId="9823" xr:uid="{C4485845-6E52-4540-87F2-51999D01C95A}"/>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F3284016-C59C-4BFC-9EBD-B493C1FF302F}"/>
    <cellStyle name="Normal 3 2 3 4 2 3" xfId="12379" xr:uid="{9ED34025-CF34-4314-A86C-757F9498E9EB}"/>
    <cellStyle name="Normal 3 2 3 4 3" xfId="5125" xr:uid="{00000000-0005-0000-0000-0000BE110000}"/>
    <cellStyle name="Normal 3 2 3 4 3 2" xfId="14451" xr:uid="{C941CAFF-5A07-445C-B6AC-569E0993176C}"/>
    <cellStyle name="Normal 3 2 3 4 4" xfId="9242" xr:uid="{05AEEDFF-7EEB-40DB-B13D-145C971A771B}"/>
    <cellStyle name="Normal 3 2 3 4 5" xfId="10234" xr:uid="{6BA0FF25-6FE8-4C43-91F7-7D4E1217BB4C}"/>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EB4D8D2C-11A4-44A5-95C9-043B602E0D19}"/>
    <cellStyle name="Normal 3 2 3 5 2 3" xfId="12792" xr:uid="{C718C139-E2B6-4B18-BF24-DB7EE8865959}"/>
    <cellStyle name="Normal 3 2 3 5 3" xfId="5538" xr:uid="{00000000-0005-0000-0000-0000C2110000}"/>
    <cellStyle name="Normal 3 2 3 5 3 2" xfId="14864" xr:uid="{E092FD1B-EF0B-4471-8405-45F75E575B10}"/>
    <cellStyle name="Normal 3 2 3 5 4" xfId="10647" xr:uid="{19495A12-816D-4CE7-B9E2-EDAE4ACFBE04}"/>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DD9FDBA4-2C23-428C-9D04-E0B153BD2684}"/>
    <cellStyle name="Normal 3 2 3 6 2 3" xfId="13205" xr:uid="{E0AF087B-3372-4AFD-AFA4-7F9A04A3A477}"/>
    <cellStyle name="Normal 3 2 3 6 3" xfId="5951" xr:uid="{00000000-0005-0000-0000-0000C6110000}"/>
    <cellStyle name="Normal 3 2 3 6 3 2" xfId="15277" xr:uid="{3FED7B58-BFD6-4598-BE8F-4C27C0E37B80}"/>
    <cellStyle name="Normal 3 2 3 6 4" xfId="11060" xr:uid="{C9DAA1D9-FEE1-4BEC-B533-5B57420A3F40}"/>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F0BF65FA-9923-46AD-9087-2B52F61326CF}"/>
    <cellStyle name="Normal 3 2 3 7 2 3" xfId="13618" xr:uid="{783C4D82-4CC6-4486-9DFA-8F85C90BC30D}"/>
    <cellStyle name="Normal 3 2 3 7 3" xfId="6364" xr:uid="{00000000-0005-0000-0000-0000CA110000}"/>
    <cellStyle name="Normal 3 2 3 7 3 2" xfId="15690" xr:uid="{4959BDCC-D2D2-4FB0-BFF7-909F57D10825}"/>
    <cellStyle name="Normal 3 2 3 7 4" xfId="11473" xr:uid="{4F6A281E-813E-42D7-B99E-414E79386AE3}"/>
    <cellStyle name="Normal 3 2 3 8" xfId="2494" xr:uid="{00000000-0005-0000-0000-0000CB110000}"/>
    <cellStyle name="Normal 3 2 3 8 2" xfId="6777" xr:uid="{00000000-0005-0000-0000-0000CC110000}"/>
    <cellStyle name="Normal 3 2 3 8 2 2" xfId="16103" xr:uid="{904EF0DD-ACF9-4669-BC72-05A43E84DBCD}"/>
    <cellStyle name="Normal 3 2 3 8 3" xfId="11886" xr:uid="{FA2D3196-62A7-468C-A2E6-AEED6D2786AB}"/>
    <cellStyle name="Normal 3 2 3 9" xfId="4711" xr:uid="{00000000-0005-0000-0000-0000CD110000}"/>
    <cellStyle name="Normal 3 2 3 9 2" xfId="14037" xr:uid="{12BB380A-A67A-4FC7-A0E5-F510C61FD422}"/>
    <cellStyle name="Normal 3 2 4" xfId="809" xr:uid="{00000000-0005-0000-0000-0000CE110000}"/>
    <cellStyle name="Normal 3 2 4 2" xfId="3047" xr:uid="{00000000-0005-0000-0000-0000CF110000}"/>
    <cellStyle name="Normal 3 2 4 2 2" xfId="7269" xr:uid="{00000000-0005-0000-0000-0000D0110000}"/>
    <cellStyle name="Normal 3 2 4 2 2 2" xfId="16595" xr:uid="{F72CE1AB-781D-48C7-9A3D-D3C3CF1D17CD}"/>
    <cellStyle name="Normal 3 2 4 2 3" xfId="12378" xr:uid="{49FD6A3E-A74B-48C2-968F-AAD544775DDB}"/>
    <cellStyle name="Normal 3 2 4 3" xfId="5124" xr:uid="{00000000-0005-0000-0000-0000D1110000}"/>
    <cellStyle name="Normal 3 2 4 3 2" xfId="14450" xr:uid="{DF943917-13E2-4083-862D-83ED68EFF414}"/>
    <cellStyle name="Normal 3 2 4 4" xfId="9607" xr:uid="{7D769806-7069-4B8D-8CAC-B3B91BBA8D64}"/>
    <cellStyle name="Normal 3 2 4 5" xfId="10233" xr:uid="{3F50956B-7A91-4D37-816E-396E88AC6F59}"/>
    <cellStyle name="Normal 3 2 5" xfId="1230" xr:uid="{00000000-0005-0000-0000-0000D2110000}"/>
    <cellStyle name="Normal 3 2 5 2" xfId="3460" xr:uid="{00000000-0005-0000-0000-0000D3110000}"/>
    <cellStyle name="Normal 3 2 5 2 2" xfId="7682" xr:uid="{00000000-0005-0000-0000-0000D4110000}"/>
    <cellStyle name="Normal 3 2 5 2 2 2" xfId="17008" xr:uid="{254BDC65-1CF1-4191-89B0-D68BD4047733}"/>
    <cellStyle name="Normal 3 2 5 2 3" xfId="12791" xr:uid="{AD7C17B3-DB67-43C8-94DF-045B4A43A5DB}"/>
    <cellStyle name="Normal 3 2 5 3" xfId="5537" xr:uid="{00000000-0005-0000-0000-0000D5110000}"/>
    <cellStyle name="Normal 3 2 5 3 2" xfId="14863" xr:uid="{3CD8096E-CE66-4DFA-B1A1-D706A6D70F87}"/>
    <cellStyle name="Normal 3 2 5 4" xfId="10646" xr:uid="{A7068EE4-101E-4AF9-9589-60D5B7CB5CB0}"/>
    <cellStyle name="Normal 3 2 6" xfId="1643" xr:uid="{00000000-0005-0000-0000-0000D6110000}"/>
    <cellStyle name="Normal 3 2 6 2" xfId="3873" xr:uid="{00000000-0005-0000-0000-0000D7110000}"/>
    <cellStyle name="Normal 3 2 6 2 2" xfId="8095" xr:uid="{00000000-0005-0000-0000-0000D8110000}"/>
    <cellStyle name="Normal 3 2 6 2 2 2" xfId="17421" xr:uid="{317B1359-ADC0-4BFC-8D93-55814E79B99B}"/>
    <cellStyle name="Normal 3 2 6 2 3" xfId="13204" xr:uid="{10EC81AD-9791-477F-8C60-66E7F6116A79}"/>
    <cellStyle name="Normal 3 2 6 3" xfId="5950" xr:uid="{00000000-0005-0000-0000-0000D9110000}"/>
    <cellStyle name="Normal 3 2 6 3 2" xfId="15276" xr:uid="{3543564A-C187-4F5A-A5FE-ACC6383D52EE}"/>
    <cellStyle name="Normal 3 2 6 4" xfId="11059" xr:uid="{81BEE03E-4FC5-40D7-88C4-F9CD0C30EDB6}"/>
    <cellStyle name="Normal 3 2 7" xfId="2057" xr:uid="{00000000-0005-0000-0000-0000DA110000}"/>
    <cellStyle name="Normal 3 2 7 2" xfId="4286" xr:uid="{00000000-0005-0000-0000-0000DB110000}"/>
    <cellStyle name="Normal 3 2 7 2 2" xfId="8508" xr:uid="{00000000-0005-0000-0000-0000DC110000}"/>
    <cellStyle name="Normal 3 2 7 2 2 2" xfId="17834" xr:uid="{9113C345-ADAB-49D7-B9AC-E38B6DD98FCC}"/>
    <cellStyle name="Normal 3 2 7 2 3" xfId="13617" xr:uid="{358A660D-BAFA-4FAF-AA9A-CB6C3F1A89A1}"/>
    <cellStyle name="Normal 3 2 7 3" xfId="6363" xr:uid="{00000000-0005-0000-0000-0000DD110000}"/>
    <cellStyle name="Normal 3 2 7 3 2" xfId="15689" xr:uid="{6ADE363A-C423-44A6-8953-E3CCD80A95A2}"/>
    <cellStyle name="Normal 3 2 7 4" xfId="11472" xr:uid="{DF011B53-DF69-4D31-942D-35E50C73FBA9}"/>
    <cellStyle name="Normal 3 2 8" xfId="2493" xr:uid="{00000000-0005-0000-0000-0000DE110000}"/>
    <cellStyle name="Normal 3 2 8 2" xfId="6776" xr:uid="{00000000-0005-0000-0000-0000DF110000}"/>
    <cellStyle name="Normal 3 2 8 2 2" xfId="16102" xr:uid="{B7911A4D-35BE-4B46-B017-CC5A1A90CE2F}"/>
    <cellStyle name="Normal 3 2 8 3" xfId="11885" xr:uid="{80F29C59-B764-46B3-AC1E-7CF33AB49BD9}"/>
    <cellStyle name="Normal 3 2 9" xfId="4710" xr:uid="{00000000-0005-0000-0000-0000E0110000}"/>
    <cellStyle name="Normal 3 2 9 2" xfId="14036" xr:uid="{547545CF-D591-48A9-B48C-126C7B381C31}"/>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1" xfId="9824" xr:uid="{B6634C29-1FC7-48B5-A738-4B33DB009937}"/>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74BC881F-FC5B-4917-8B39-1EA5F81C190B}"/>
    <cellStyle name="Normal 4 2 2 10 2 3" xfId="13622" xr:uid="{524F7C05-F53B-4720-B82A-C6179CA9F095}"/>
    <cellStyle name="Normal 4 2 2 10 3" xfId="6368" xr:uid="{00000000-0005-0000-0000-0000ED110000}"/>
    <cellStyle name="Normal 4 2 2 10 3 2" xfId="15694" xr:uid="{82CFA835-636C-484F-9549-F36C37252D68}"/>
    <cellStyle name="Normal 4 2 2 10 4" xfId="11477" xr:uid="{E940779F-5FE8-42C8-9C96-6C240828FB3F}"/>
    <cellStyle name="Normal 4 2 2 11" xfId="2498" xr:uid="{00000000-0005-0000-0000-0000EE110000}"/>
    <cellStyle name="Normal 4 2 2 11 2" xfId="6781" xr:uid="{00000000-0005-0000-0000-0000EF110000}"/>
    <cellStyle name="Normal 4 2 2 11 2 2" xfId="16107" xr:uid="{8CF59F49-5B36-4A23-8B79-E12520580180}"/>
    <cellStyle name="Normal 4 2 2 11 3" xfId="11890" xr:uid="{9CC45B6C-54AF-40B9-811C-D96E9CB4240D}"/>
    <cellStyle name="Normal 4 2 2 12" xfId="4716" xr:uid="{00000000-0005-0000-0000-0000F0110000}"/>
    <cellStyle name="Normal 4 2 2 12 2" xfId="14042" xr:uid="{B60B68F7-1F88-44C7-AE2D-4B8298BACDF2}"/>
    <cellStyle name="Normal 4 2 2 13" xfId="8752" xr:uid="{7B61EFAC-4165-4615-9A47-7AF5DAE027C9}"/>
    <cellStyle name="Normal 4 2 2 14" xfId="9825" xr:uid="{CCCF4EC1-8A16-4AC4-A9B4-C441839A274C}"/>
    <cellStyle name="Normal 4 2 2 2" xfId="338" xr:uid="{00000000-0005-0000-0000-0000F1110000}"/>
    <cellStyle name="Normal 4 2 2 3" xfId="339" xr:uid="{00000000-0005-0000-0000-0000F2110000}"/>
    <cellStyle name="Normal 4 2 2 3 10" xfId="4717" xr:uid="{00000000-0005-0000-0000-0000F3110000}"/>
    <cellStyle name="Normal 4 2 2 3 10 2" xfId="14043" xr:uid="{6B19BF7B-158C-4992-985A-0DC1E3C10C9B}"/>
    <cellStyle name="Normal 4 2 2 3 11" xfId="8784" xr:uid="{8AA3A883-811C-4C4A-AFFF-9AAED56BF228}"/>
    <cellStyle name="Normal 4 2 2 3 12" xfId="9826" xr:uid="{13DDA942-7429-4000-A3D2-37C04086E002}"/>
    <cellStyle name="Normal 4 2 2 3 2" xfId="340" xr:uid="{00000000-0005-0000-0000-0000F4110000}"/>
    <cellStyle name="Normal 4 2 2 3 2 10" xfId="8819" xr:uid="{16629302-3759-4242-B07E-BB5D034B10E8}"/>
    <cellStyle name="Normal 4 2 2 3 2 11" xfId="9827" xr:uid="{B5854308-866C-4B53-BD6C-BA6BA5725C8F}"/>
    <cellStyle name="Normal 4 2 2 3 2 2" xfId="341" xr:uid="{00000000-0005-0000-0000-0000F5110000}"/>
    <cellStyle name="Normal 4 2 2 3 2 2 10" xfId="9828" xr:uid="{50BF12F0-C5CA-41A0-86EF-04736029047B}"/>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2FF7E6CB-B82C-4BF0-BC2D-7F4717875ED2}"/>
    <cellStyle name="Normal 4 2 2 3 2 2 2 2 2 3" xfId="12387" xr:uid="{23EB4312-2DAA-4E17-A087-8BDABEB42B45}"/>
    <cellStyle name="Normal 4 2 2 3 2 2 2 2 3" xfId="5133" xr:uid="{00000000-0005-0000-0000-0000FA110000}"/>
    <cellStyle name="Normal 4 2 2 3 2 2 2 2 3 2" xfId="14459" xr:uid="{263C7DFC-AA4B-48A6-87ED-518ECEDCB826}"/>
    <cellStyle name="Normal 4 2 2 3 2 2 2 2 4" xfId="9554" xr:uid="{BAC669EC-8948-4716-90C3-0688F03300CE}"/>
    <cellStyle name="Normal 4 2 2 3 2 2 2 2 5" xfId="10242" xr:uid="{D435BFF3-1B47-4481-B5AC-28DCC7307DF9}"/>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18514017-CC43-407E-A592-CDB0825A81AA}"/>
    <cellStyle name="Normal 4 2 2 3 2 2 2 3 2 3" xfId="12800" xr:uid="{F5148992-D6F8-45B0-B21C-B2ECBFE90173}"/>
    <cellStyle name="Normal 4 2 2 3 2 2 2 3 3" xfId="5546" xr:uid="{00000000-0005-0000-0000-0000FE110000}"/>
    <cellStyle name="Normal 4 2 2 3 2 2 2 3 3 2" xfId="14872" xr:uid="{8B8092A0-2430-4CAF-AA83-787A20DF306E}"/>
    <cellStyle name="Normal 4 2 2 3 2 2 2 3 4" xfId="10655" xr:uid="{15C252C1-4E57-4DBC-90F7-6FFD4DDEDF82}"/>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D7FF8E99-E393-4944-A3BF-8B37DFBD8950}"/>
    <cellStyle name="Normal 4 2 2 3 2 2 2 4 2 3" xfId="13213" xr:uid="{DC6A5E51-D2A5-4D45-ACD8-3294CB867C60}"/>
    <cellStyle name="Normal 4 2 2 3 2 2 2 4 3" xfId="5959" xr:uid="{00000000-0005-0000-0000-000002120000}"/>
    <cellStyle name="Normal 4 2 2 3 2 2 2 4 3 2" xfId="15285" xr:uid="{ED95140D-92EA-430E-B4AD-75E65EF7A43A}"/>
    <cellStyle name="Normal 4 2 2 3 2 2 2 4 4" xfId="11068" xr:uid="{FC5B5D12-6650-441F-8185-0CEA3320A322}"/>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846433C4-5855-4560-89E8-81A9E96484A3}"/>
    <cellStyle name="Normal 4 2 2 3 2 2 2 5 2 3" xfId="13626" xr:uid="{626BB232-7B60-4EAB-9CC3-8996466770C8}"/>
    <cellStyle name="Normal 4 2 2 3 2 2 2 5 3" xfId="6372" xr:uid="{00000000-0005-0000-0000-000006120000}"/>
    <cellStyle name="Normal 4 2 2 3 2 2 2 5 3 2" xfId="15698" xr:uid="{A3F6CB43-BCD0-4C04-9666-A14BE7FE6A76}"/>
    <cellStyle name="Normal 4 2 2 3 2 2 2 5 4" xfId="11481" xr:uid="{37F56D75-5279-4392-BD08-CD6E1C739D84}"/>
    <cellStyle name="Normal 4 2 2 3 2 2 2 6" xfId="2502" xr:uid="{00000000-0005-0000-0000-000007120000}"/>
    <cellStyle name="Normal 4 2 2 3 2 2 2 6 2" xfId="6785" xr:uid="{00000000-0005-0000-0000-000008120000}"/>
    <cellStyle name="Normal 4 2 2 3 2 2 2 6 2 2" xfId="16111" xr:uid="{5F016E55-750C-496B-8370-67F10AF2BA40}"/>
    <cellStyle name="Normal 4 2 2 3 2 2 2 6 3" xfId="11894" xr:uid="{FFF18C0D-2355-464A-A76D-1358C1BFD08A}"/>
    <cellStyle name="Normal 4 2 2 3 2 2 2 7" xfId="4720" xr:uid="{00000000-0005-0000-0000-000009120000}"/>
    <cellStyle name="Normal 4 2 2 3 2 2 2 7 2" xfId="14046" xr:uid="{243F07D2-F252-4CEA-A5E4-F4A7A13D2DD7}"/>
    <cellStyle name="Normal 4 2 2 3 2 2 2 8" xfId="9129" xr:uid="{970F8072-C8D6-4D17-95D6-EBF431EAD262}"/>
    <cellStyle name="Normal 4 2 2 3 2 2 2 9" xfId="9829" xr:uid="{E4FF0481-A0D4-4567-BF3B-EE92F4C073E4}"/>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E98DC161-E9E5-4C75-ADF2-79902E1B0806}"/>
    <cellStyle name="Normal 4 2 2 3 2 2 3 2 3" xfId="12386" xr:uid="{2C8230D2-8120-4740-A605-EA5E267479F4}"/>
    <cellStyle name="Normal 4 2 2 3 2 2 3 3" xfId="5132" xr:uid="{00000000-0005-0000-0000-00000D120000}"/>
    <cellStyle name="Normal 4 2 2 3 2 2 3 3 2" xfId="14458" xr:uid="{73AE280C-4571-4596-9E58-50D4B8F2A7CF}"/>
    <cellStyle name="Normal 4 2 2 3 2 2 3 4" xfId="9347" xr:uid="{8C9012CB-19BB-4242-9F43-373358B13B52}"/>
    <cellStyle name="Normal 4 2 2 3 2 2 3 5" xfId="10241" xr:uid="{D57FA1B8-FA4B-4465-83AA-1D5A8202B7A6}"/>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B157EAC4-D290-4E20-BD7F-BE1A5BD3BC23}"/>
    <cellStyle name="Normal 4 2 2 3 2 2 4 2 3" xfId="12799" xr:uid="{A644B0F7-BF29-4A72-8A41-439269F8D6A2}"/>
    <cellStyle name="Normal 4 2 2 3 2 2 4 3" xfId="5545" xr:uid="{00000000-0005-0000-0000-000011120000}"/>
    <cellStyle name="Normal 4 2 2 3 2 2 4 3 2" xfId="14871" xr:uid="{B3CDE5D8-032E-4EC4-9E35-37369B2EC8A8}"/>
    <cellStyle name="Normal 4 2 2 3 2 2 4 4" xfId="10654" xr:uid="{7C395531-D4F7-4E12-8A8F-0234780AF1AB}"/>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84BA7A2C-F356-4D6C-A615-498A33C249FB}"/>
    <cellStyle name="Normal 4 2 2 3 2 2 5 2 3" xfId="13212" xr:uid="{CB48544F-10F7-41CB-8FC1-321D9C7CF791}"/>
    <cellStyle name="Normal 4 2 2 3 2 2 5 3" xfId="5958" xr:uid="{00000000-0005-0000-0000-000015120000}"/>
    <cellStyle name="Normal 4 2 2 3 2 2 5 3 2" xfId="15284" xr:uid="{6B667105-02B3-44D7-8244-16E0DCD843D4}"/>
    <cellStyle name="Normal 4 2 2 3 2 2 5 4" xfId="11067" xr:uid="{C2B3BE3E-8545-478B-95B7-BF97AAF4487C}"/>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5C3CEF12-26F6-4C0E-8006-404AA2440E28}"/>
    <cellStyle name="Normal 4 2 2 3 2 2 6 2 3" xfId="13625" xr:uid="{7BC15DA3-C294-42C8-9F0C-5E70A060D2C5}"/>
    <cellStyle name="Normal 4 2 2 3 2 2 6 3" xfId="6371" xr:uid="{00000000-0005-0000-0000-000019120000}"/>
    <cellStyle name="Normal 4 2 2 3 2 2 6 3 2" xfId="15697" xr:uid="{A722C8F5-0262-424E-8F65-6966A23A88B6}"/>
    <cellStyle name="Normal 4 2 2 3 2 2 6 4" xfId="11480" xr:uid="{4645F49E-5D43-4526-A6A5-ADC3053BD4E6}"/>
    <cellStyle name="Normal 4 2 2 3 2 2 7" xfId="2501" xr:uid="{00000000-0005-0000-0000-00001A120000}"/>
    <cellStyle name="Normal 4 2 2 3 2 2 7 2" xfId="6784" xr:uid="{00000000-0005-0000-0000-00001B120000}"/>
    <cellStyle name="Normal 4 2 2 3 2 2 7 2 2" xfId="16110" xr:uid="{2ECBB834-7648-40BD-939C-8CA405500A6C}"/>
    <cellStyle name="Normal 4 2 2 3 2 2 7 3" xfId="11893" xr:uid="{5EA11CE4-936A-4DD3-86E7-5BB388994704}"/>
    <cellStyle name="Normal 4 2 2 3 2 2 8" xfId="4719" xr:uid="{00000000-0005-0000-0000-00001C120000}"/>
    <cellStyle name="Normal 4 2 2 3 2 2 8 2" xfId="14045" xr:uid="{A53F91B8-1EBC-40B8-A334-DBED3B689B0B}"/>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535F34F8-11FC-45BB-9839-D8A4AA973262}"/>
    <cellStyle name="Normal 4 2 2 3 2 3 2 2 3" xfId="12388" xr:uid="{0F4919E1-F2DA-401E-AC36-D3DD36A4A460}"/>
    <cellStyle name="Normal 4 2 2 3 2 3 2 3" xfId="5134" xr:uid="{00000000-0005-0000-0000-000021120000}"/>
    <cellStyle name="Normal 4 2 2 3 2 3 2 3 2" xfId="14460" xr:uid="{9DAB96C2-8FBC-48BE-9C7B-5419172E0877}"/>
    <cellStyle name="Normal 4 2 2 3 2 3 2 4" xfId="9451" xr:uid="{85AA9164-95F1-48F2-907A-54AD445D074F}"/>
    <cellStyle name="Normal 4 2 2 3 2 3 2 5" xfId="10243" xr:uid="{1B06ADC9-A8DC-4F51-8534-F3547CE03952}"/>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5D0438CE-9836-4E4A-9DE7-E99F16A75560}"/>
    <cellStyle name="Normal 4 2 2 3 2 3 3 2 3" xfId="12801" xr:uid="{AF05325E-2DBB-451D-AC11-AD1DFC1F9A76}"/>
    <cellStyle name="Normal 4 2 2 3 2 3 3 3" xfId="5547" xr:uid="{00000000-0005-0000-0000-000025120000}"/>
    <cellStyle name="Normal 4 2 2 3 2 3 3 3 2" xfId="14873" xr:uid="{24B6BAB9-BF02-4431-9DFD-2EDFDD7E981A}"/>
    <cellStyle name="Normal 4 2 2 3 2 3 3 4" xfId="10656" xr:uid="{5F4B23E6-45C4-4993-9E53-1E56B21B0AE2}"/>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B829E163-00BF-4FF7-B5FE-67FD340A19F0}"/>
    <cellStyle name="Normal 4 2 2 3 2 3 4 2 3" xfId="13214" xr:uid="{7D095191-F44D-438D-9270-CF9A0174D3E0}"/>
    <cellStyle name="Normal 4 2 2 3 2 3 4 3" xfId="5960" xr:uid="{00000000-0005-0000-0000-000029120000}"/>
    <cellStyle name="Normal 4 2 2 3 2 3 4 3 2" xfId="15286" xr:uid="{E0280FFB-9F97-4249-91F1-20421730D79D}"/>
    <cellStyle name="Normal 4 2 2 3 2 3 4 4" xfId="11069" xr:uid="{F8F2A264-BD51-4FDA-9FFB-6C251D0DB85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E9ACB62A-2442-43F7-845D-728598725431}"/>
    <cellStyle name="Normal 4 2 2 3 2 3 5 2 3" xfId="13627" xr:uid="{D739077B-D3D3-4B9B-8903-9C590D5EA743}"/>
    <cellStyle name="Normal 4 2 2 3 2 3 5 3" xfId="6373" xr:uid="{00000000-0005-0000-0000-00002D120000}"/>
    <cellStyle name="Normal 4 2 2 3 2 3 5 3 2" xfId="15699" xr:uid="{01C5EAFA-3C6F-42AC-AE5F-31846EA80C15}"/>
    <cellStyle name="Normal 4 2 2 3 2 3 5 4" xfId="11482" xr:uid="{5FA24059-D5FD-4DCB-A94D-64AA9FA8C88D}"/>
    <cellStyle name="Normal 4 2 2 3 2 3 6" xfId="2503" xr:uid="{00000000-0005-0000-0000-00002E120000}"/>
    <cellStyle name="Normal 4 2 2 3 2 3 6 2" xfId="6786" xr:uid="{00000000-0005-0000-0000-00002F120000}"/>
    <cellStyle name="Normal 4 2 2 3 2 3 6 2 2" xfId="16112" xr:uid="{BC9C969B-AE8F-4031-9ABA-63E433253AEB}"/>
    <cellStyle name="Normal 4 2 2 3 2 3 6 3" xfId="11895" xr:uid="{8F2D145A-587B-480E-A5B0-194D3942AF2A}"/>
    <cellStyle name="Normal 4 2 2 3 2 3 7" xfId="4721" xr:uid="{00000000-0005-0000-0000-000030120000}"/>
    <cellStyle name="Normal 4 2 2 3 2 3 7 2" xfId="14047" xr:uid="{AC42654B-687C-4D94-98A7-BEDE82280D03}"/>
    <cellStyle name="Normal 4 2 2 3 2 3 8" xfId="9026" xr:uid="{319D63D3-F71C-4F99-9FD1-E3D0665567E8}"/>
    <cellStyle name="Normal 4 2 2 3 2 3 9" xfId="9830" xr:uid="{802F8E4F-306B-4F4B-8A58-E1C13FC7CE1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3E242590-C716-4412-A50C-43B062D03A8E}"/>
    <cellStyle name="Normal 4 2 2 3 2 4 2 3" xfId="12385" xr:uid="{21D0B858-DBC3-4F59-A2A3-570A8D0548EB}"/>
    <cellStyle name="Normal 4 2 2 3 2 4 3" xfId="5131" xr:uid="{00000000-0005-0000-0000-000034120000}"/>
    <cellStyle name="Normal 4 2 2 3 2 4 3 2" xfId="14457" xr:uid="{FBD0AEA3-0E1A-483D-9E90-0B09E5C49008}"/>
    <cellStyle name="Normal 4 2 2 3 2 4 4" xfId="9244" xr:uid="{98623F27-324A-40DE-AA2B-56E1FCE087EE}"/>
    <cellStyle name="Normal 4 2 2 3 2 4 5" xfId="10240" xr:uid="{6F1F53F4-6EF5-435F-952C-745EA293AC4A}"/>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35073F4A-54F5-4CDC-A8EB-C80B6041EFCF}"/>
    <cellStyle name="Normal 4 2 2 3 2 5 2 3" xfId="12798" xr:uid="{CE96C84F-40D3-454E-9EA6-C4BA30930849}"/>
    <cellStyle name="Normal 4 2 2 3 2 5 3" xfId="5544" xr:uid="{00000000-0005-0000-0000-000038120000}"/>
    <cellStyle name="Normal 4 2 2 3 2 5 3 2" xfId="14870" xr:uid="{BD2B0283-7895-4B4F-A61B-56214FD16C07}"/>
    <cellStyle name="Normal 4 2 2 3 2 5 4" xfId="10653" xr:uid="{2D628663-2FEC-4BFF-9A38-D09413903C8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E048D370-BAA8-41FB-8B6A-7C9EE28AC06F}"/>
    <cellStyle name="Normal 4 2 2 3 2 6 2 3" xfId="13211" xr:uid="{EAC93A2B-FD13-4ACA-A869-F64FD9DEF500}"/>
    <cellStyle name="Normal 4 2 2 3 2 6 3" xfId="5957" xr:uid="{00000000-0005-0000-0000-00003C120000}"/>
    <cellStyle name="Normal 4 2 2 3 2 6 3 2" xfId="15283" xr:uid="{0CD26BB4-8BFB-4DF2-A6D6-B2E12EC3DC2E}"/>
    <cellStyle name="Normal 4 2 2 3 2 6 4" xfId="11066" xr:uid="{693342E4-1C89-4C7D-9939-1F57E8BCBF87}"/>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BD8FD211-C6C6-4359-AAB0-3D0C11B88030}"/>
    <cellStyle name="Normal 4 2 2 3 2 7 2 3" xfId="13624" xr:uid="{5A226689-1333-4F85-BEE8-17F95D15C6DF}"/>
    <cellStyle name="Normal 4 2 2 3 2 7 3" xfId="6370" xr:uid="{00000000-0005-0000-0000-000040120000}"/>
    <cellStyle name="Normal 4 2 2 3 2 7 3 2" xfId="15696" xr:uid="{4B385534-F878-46AC-84C7-2B015E3C041A}"/>
    <cellStyle name="Normal 4 2 2 3 2 7 4" xfId="11479" xr:uid="{E663A411-AF03-4E58-970B-B5614933D617}"/>
    <cellStyle name="Normal 4 2 2 3 2 8" xfId="2500" xr:uid="{00000000-0005-0000-0000-000041120000}"/>
    <cellStyle name="Normal 4 2 2 3 2 8 2" xfId="6783" xr:uid="{00000000-0005-0000-0000-000042120000}"/>
    <cellStyle name="Normal 4 2 2 3 2 8 2 2" xfId="16109" xr:uid="{1AC8C594-1B5F-4695-B856-A449C11D3E61}"/>
    <cellStyle name="Normal 4 2 2 3 2 8 3" xfId="11892" xr:uid="{0A66EEE0-7E63-45AC-B4DF-E0E8C200D7F4}"/>
    <cellStyle name="Normal 4 2 2 3 2 9" xfId="4718" xr:uid="{00000000-0005-0000-0000-000043120000}"/>
    <cellStyle name="Normal 4 2 2 3 2 9 2" xfId="14044" xr:uid="{E1D7619B-7CD7-46CF-AF24-216208120A24}"/>
    <cellStyle name="Normal 4 2 2 3 3" xfId="344" xr:uid="{00000000-0005-0000-0000-000044120000}"/>
    <cellStyle name="Normal 4 2 2 3 3 10" xfId="9831" xr:uid="{F51C0F2B-0962-44E4-AC23-1DEE600063F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87A8F8F9-66DD-4095-AF27-7BDEFB68454C}"/>
    <cellStyle name="Normal 4 2 2 3 3 2 2 2 3" xfId="12390" xr:uid="{023726B4-AF54-4357-A4CC-87E1AD13399B}"/>
    <cellStyle name="Normal 4 2 2 3 3 2 2 3" xfId="5136" xr:uid="{00000000-0005-0000-0000-000049120000}"/>
    <cellStyle name="Normal 4 2 2 3 3 2 2 3 2" xfId="14462" xr:uid="{107D7E13-AA04-4C90-A0F1-8161F2DE276C}"/>
    <cellStyle name="Normal 4 2 2 3 3 2 2 4" xfId="9519" xr:uid="{FB4BBD6E-D73B-4ABD-8656-6C15D7932E02}"/>
    <cellStyle name="Normal 4 2 2 3 3 2 2 5" xfId="10245" xr:uid="{9D433EFB-7BD2-4D1B-8F19-C0352E09D0CC}"/>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9B862439-18CE-4BEF-9107-C264A7838788}"/>
    <cellStyle name="Normal 4 2 2 3 3 2 3 2 3" xfId="12803" xr:uid="{4D171DC5-5398-422E-BFEF-76C8D12E1A3A}"/>
    <cellStyle name="Normal 4 2 2 3 3 2 3 3" xfId="5549" xr:uid="{00000000-0005-0000-0000-00004D120000}"/>
    <cellStyle name="Normal 4 2 2 3 3 2 3 3 2" xfId="14875" xr:uid="{2E7EE557-5D2A-407F-8F55-34A73AB5C707}"/>
    <cellStyle name="Normal 4 2 2 3 3 2 3 4" xfId="10658" xr:uid="{FEAF784D-7DB3-4910-BF78-24E0313E5AFB}"/>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FC629CE3-F3C1-4494-A0F4-0D2630AE27AB}"/>
    <cellStyle name="Normal 4 2 2 3 3 2 4 2 3" xfId="13216" xr:uid="{ABAD1496-F54D-44D8-A2AE-280843BCDED0}"/>
    <cellStyle name="Normal 4 2 2 3 3 2 4 3" xfId="5962" xr:uid="{00000000-0005-0000-0000-000051120000}"/>
    <cellStyle name="Normal 4 2 2 3 3 2 4 3 2" xfId="15288" xr:uid="{23E47AF6-410B-4CCC-B274-9683A2D1B61E}"/>
    <cellStyle name="Normal 4 2 2 3 3 2 4 4" xfId="11071" xr:uid="{E5853DEA-1ED2-42D6-BC9B-A98602DE338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C1E7817C-D764-4738-A2B9-DB26CAB0E77D}"/>
    <cellStyle name="Normal 4 2 2 3 3 2 5 2 3" xfId="13629" xr:uid="{89E96E4C-A320-47A5-856C-8275BDC87D2B}"/>
    <cellStyle name="Normal 4 2 2 3 3 2 5 3" xfId="6375" xr:uid="{00000000-0005-0000-0000-000055120000}"/>
    <cellStyle name="Normal 4 2 2 3 3 2 5 3 2" xfId="15701" xr:uid="{DC49C04B-FB3D-41DB-8CC2-4E850FF2FB5F}"/>
    <cellStyle name="Normal 4 2 2 3 3 2 5 4" xfId="11484" xr:uid="{EE474C71-9AD4-48F9-949C-DE84E96A64E0}"/>
    <cellStyle name="Normal 4 2 2 3 3 2 6" xfId="2505" xr:uid="{00000000-0005-0000-0000-000056120000}"/>
    <cellStyle name="Normal 4 2 2 3 3 2 6 2" xfId="6788" xr:uid="{00000000-0005-0000-0000-000057120000}"/>
    <cellStyle name="Normal 4 2 2 3 3 2 6 2 2" xfId="16114" xr:uid="{B7570ACC-E72E-4D2D-A698-0F124F648221}"/>
    <cellStyle name="Normal 4 2 2 3 3 2 6 3" xfId="11897" xr:uid="{EA8F8DAA-618B-4BEC-8E31-64C2B4CDE343}"/>
    <cellStyle name="Normal 4 2 2 3 3 2 7" xfId="4723" xr:uid="{00000000-0005-0000-0000-000058120000}"/>
    <cellStyle name="Normal 4 2 2 3 3 2 7 2" xfId="14049" xr:uid="{70A7F04A-1544-41C5-9297-A05C4134DAEB}"/>
    <cellStyle name="Normal 4 2 2 3 3 2 8" xfId="9094" xr:uid="{1333D468-E252-4686-88C1-38A56B910A8E}"/>
    <cellStyle name="Normal 4 2 2 3 3 2 9" xfId="9832" xr:uid="{E00A6527-8DB3-440C-B37D-A037CAAEB50F}"/>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B3DFDF18-AF8E-46DF-BC05-914926D29E88}"/>
    <cellStyle name="Normal 4 2 2 3 3 3 2 3" xfId="12389" xr:uid="{BA46A2C2-E89A-4507-AF00-31D26432C957}"/>
    <cellStyle name="Normal 4 2 2 3 3 3 3" xfId="5135" xr:uid="{00000000-0005-0000-0000-00005C120000}"/>
    <cellStyle name="Normal 4 2 2 3 3 3 3 2" xfId="14461" xr:uid="{0414B27C-20FB-4C0F-8AAE-18C2D476AA8C}"/>
    <cellStyle name="Normal 4 2 2 3 3 3 4" xfId="9312" xr:uid="{0065946C-778C-4913-8F8B-68BBB1A30769}"/>
    <cellStyle name="Normal 4 2 2 3 3 3 5" xfId="10244" xr:uid="{F795B736-5589-46C6-B623-7041B6D8DBCB}"/>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87C71A06-858B-4E25-8EE3-5033175C7D04}"/>
    <cellStyle name="Normal 4 2 2 3 3 4 2 3" xfId="12802" xr:uid="{3DBBFBE8-1314-42C8-B976-CD3E3B38C5A4}"/>
    <cellStyle name="Normal 4 2 2 3 3 4 3" xfId="5548" xr:uid="{00000000-0005-0000-0000-000060120000}"/>
    <cellStyle name="Normal 4 2 2 3 3 4 3 2" xfId="14874" xr:uid="{C87E949E-5C61-4977-8BA4-E28FC056D6A8}"/>
    <cellStyle name="Normal 4 2 2 3 3 4 4" xfId="10657" xr:uid="{04907387-1F57-4EA1-BB1A-DBD0C0EB065B}"/>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3B76606D-6E5E-41AA-91F2-9CB126C7B10D}"/>
    <cellStyle name="Normal 4 2 2 3 3 5 2 3" xfId="13215" xr:uid="{E6319B50-2748-4BAC-87D3-CE8888E80B75}"/>
    <cellStyle name="Normal 4 2 2 3 3 5 3" xfId="5961" xr:uid="{00000000-0005-0000-0000-000064120000}"/>
    <cellStyle name="Normal 4 2 2 3 3 5 3 2" xfId="15287" xr:uid="{CDBFA094-2D2D-49E2-BD69-65ABEECDE931}"/>
    <cellStyle name="Normal 4 2 2 3 3 5 4" xfId="11070" xr:uid="{61C3DC03-5FFA-4ED2-B948-4361E8E098AD}"/>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B4EBACCE-566E-40AE-B967-EA626323CD86}"/>
    <cellStyle name="Normal 4 2 2 3 3 6 2 3" xfId="13628" xr:uid="{337BC592-1402-43AA-B170-CA929E33586D}"/>
    <cellStyle name="Normal 4 2 2 3 3 6 3" xfId="6374" xr:uid="{00000000-0005-0000-0000-000068120000}"/>
    <cellStyle name="Normal 4 2 2 3 3 6 3 2" xfId="15700" xr:uid="{F6ED7F2B-F4B8-449C-BDA6-E35CB125750C}"/>
    <cellStyle name="Normal 4 2 2 3 3 6 4" xfId="11483" xr:uid="{EA785546-8524-4719-86F5-DEE0B75BA4C0}"/>
    <cellStyle name="Normal 4 2 2 3 3 7" xfId="2504" xr:uid="{00000000-0005-0000-0000-000069120000}"/>
    <cellStyle name="Normal 4 2 2 3 3 7 2" xfId="6787" xr:uid="{00000000-0005-0000-0000-00006A120000}"/>
    <cellStyle name="Normal 4 2 2 3 3 7 2 2" xfId="16113" xr:uid="{A92AD606-5B83-4378-B85C-ED93851B45B4}"/>
    <cellStyle name="Normal 4 2 2 3 3 7 3" xfId="11896" xr:uid="{22003100-D2A9-44E0-971A-1446B3E4CBEF}"/>
    <cellStyle name="Normal 4 2 2 3 3 8" xfId="4722" xr:uid="{00000000-0005-0000-0000-00006B120000}"/>
    <cellStyle name="Normal 4 2 2 3 3 8 2" xfId="14048" xr:uid="{DDF3C936-2782-4733-AABD-7CFF1E5E082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F22C35A7-3859-4FA8-9CD4-F1EE36A374D4}"/>
    <cellStyle name="Normal 4 2 2 3 4 2 2 3" xfId="12391" xr:uid="{51D78A00-0B54-40D1-A6BF-635BA512E3B1}"/>
    <cellStyle name="Normal 4 2 2 3 4 2 3" xfId="5137" xr:uid="{00000000-0005-0000-0000-000070120000}"/>
    <cellStyle name="Normal 4 2 2 3 4 2 3 2" xfId="14463" xr:uid="{E756CF2D-93F3-4259-A253-4925A29D66B0}"/>
    <cellStyle name="Normal 4 2 2 3 4 2 4" xfId="9416" xr:uid="{B0F1A5CD-0EDE-48A7-9669-6902681F696C}"/>
    <cellStyle name="Normal 4 2 2 3 4 2 5" xfId="10246" xr:uid="{AACBA646-0196-4D48-84A3-6EAC60CF768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59C11B63-1697-4158-A2EA-B0A3304D5F96}"/>
    <cellStyle name="Normal 4 2 2 3 4 3 2 3" xfId="12804" xr:uid="{5A2D1006-E492-4789-92C9-C6F455689B46}"/>
    <cellStyle name="Normal 4 2 2 3 4 3 3" xfId="5550" xr:uid="{00000000-0005-0000-0000-000074120000}"/>
    <cellStyle name="Normal 4 2 2 3 4 3 3 2" xfId="14876" xr:uid="{B96E395D-DE0B-41BC-B598-DD8ECE80253A}"/>
    <cellStyle name="Normal 4 2 2 3 4 3 4" xfId="10659" xr:uid="{7AE61CC5-811C-4C67-BC70-6C6A4DC5EA6C}"/>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E1DDAA2C-0173-4D3D-A873-791D1BD5E0D5}"/>
    <cellStyle name="Normal 4 2 2 3 4 4 2 3" xfId="13217" xr:uid="{1B9AE71C-3781-4813-ACB0-88C84AFECFE8}"/>
    <cellStyle name="Normal 4 2 2 3 4 4 3" xfId="5963" xr:uid="{00000000-0005-0000-0000-000078120000}"/>
    <cellStyle name="Normal 4 2 2 3 4 4 3 2" xfId="15289" xr:uid="{ACA48CA3-F08F-4CEB-8C95-7C0D3F784830}"/>
    <cellStyle name="Normal 4 2 2 3 4 4 4" xfId="11072" xr:uid="{E1570963-D520-4288-81DF-82491AC48973}"/>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3626D90D-A7BB-42F3-BCB7-8F749A3F18D4}"/>
    <cellStyle name="Normal 4 2 2 3 4 5 2 3" xfId="13630" xr:uid="{E619AF85-DA32-4533-91CA-6F131C0D7DE9}"/>
    <cellStyle name="Normal 4 2 2 3 4 5 3" xfId="6376" xr:uid="{00000000-0005-0000-0000-00007C120000}"/>
    <cellStyle name="Normal 4 2 2 3 4 5 3 2" xfId="15702" xr:uid="{80424341-B766-44B4-A5D8-A5BCA14123E6}"/>
    <cellStyle name="Normal 4 2 2 3 4 5 4" xfId="11485" xr:uid="{3A471F70-FA5E-4E98-A9AB-F74403354B3F}"/>
    <cellStyle name="Normal 4 2 2 3 4 6" xfId="2506" xr:uid="{00000000-0005-0000-0000-00007D120000}"/>
    <cellStyle name="Normal 4 2 2 3 4 6 2" xfId="6789" xr:uid="{00000000-0005-0000-0000-00007E120000}"/>
    <cellStyle name="Normal 4 2 2 3 4 6 2 2" xfId="16115" xr:uid="{DA7B5815-6CF3-4957-B99A-890EA325361A}"/>
    <cellStyle name="Normal 4 2 2 3 4 6 3" xfId="11898" xr:uid="{5ABDA05F-46A8-4441-B094-6253D1406523}"/>
    <cellStyle name="Normal 4 2 2 3 4 7" xfId="4724" xr:uid="{00000000-0005-0000-0000-00007F120000}"/>
    <cellStyle name="Normal 4 2 2 3 4 7 2" xfId="14050" xr:uid="{4082459F-0B0C-4741-9F76-7B538EA166A6}"/>
    <cellStyle name="Normal 4 2 2 3 4 8" xfId="8991" xr:uid="{84464EC3-90C2-4B18-8399-135C935528F7}"/>
    <cellStyle name="Normal 4 2 2 3 4 9" xfId="9833" xr:uid="{33CCEE01-E8F0-4AE6-B9FD-EEAAB6DDA16C}"/>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074F2B0F-7A3E-470E-996A-6F2170CFC792}"/>
    <cellStyle name="Normal 4 2 2 3 5 2 3" xfId="12384" xr:uid="{E3321609-A43D-4797-A0B5-D18D6EE9C628}"/>
    <cellStyle name="Normal 4 2 2 3 5 3" xfId="5130" xr:uid="{00000000-0005-0000-0000-000083120000}"/>
    <cellStyle name="Normal 4 2 2 3 5 3 2" xfId="14456" xr:uid="{B38DB639-1438-4005-94DE-FA810DC8DB74}"/>
    <cellStyle name="Normal 4 2 2 3 5 4" xfId="9208" xr:uid="{7BF9CD11-B90D-42F2-928D-A8BE344C6F46}"/>
    <cellStyle name="Normal 4 2 2 3 5 5" xfId="10239" xr:uid="{235C18DA-8598-43A7-A4D3-88ADB3FC4FEC}"/>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65D13423-6551-4FAC-B82D-D3446C5255CE}"/>
    <cellStyle name="Normal 4 2 2 3 6 2 3" xfId="12797" xr:uid="{446DC843-18A3-4697-9DF7-38BDE5DD346E}"/>
    <cellStyle name="Normal 4 2 2 3 6 3" xfId="5543" xr:uid="{00000000-0005-0000-0000-000087120000}"/>
    <cellStyle name="Normal 4 2 2 3 6 3 2" xfId="14869" xr:uid="{C83F73CC-E033-4263-86EA-BC8C99900C5C}"/>
    <cellStyle name="Normal 4 2 2 3 6 4" xfId="10652" xr:uid="{A3439B00-9890-48B9-AEAD-014220C5E5FE}"/>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D8BF23FE-7B95-45B2-953D-716D12B14BDE}"/>
    <cellStyle name="Normal 4 2 2 3 7 2 3" xfId="13210" xr:uid="{8CA9C99A-6774-4743-BE93-CD74ED061573}"/>
    <cellStyle name="Normal 4 2 2 3 7 3" xfId="5956" xr:uid="{00000000-0005-0000-0000-00008B120000}"/>
    <cellStyle name="Normal 4 2 2 3 7 3 2" xfId="15282" xr:uid="{AD005EF7-3639-42EC-AF39-3660BA712F6A}"/>
    <cellStyle name="Normal 4 2 2 3 7 4" xfId="11065" xr:uid="{F7EE60BC-D544-429E-8300-E0A28428D781}"/>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23A7074A-8811-4777-9890-EFFB118CC73F}"/>
    <cellStyle name="Normal 4 2 2 3 8 2 3" xfId="13623" xr:uid="{5505588C-F118-435D-8FD4-554B51BE774B}"/>
    <cellStyle name="Normal 4 2 2 3 8 3" xfId="6369" xr:uid="{00000000-0005-0000-0000-00008F120000}"/>
    <cellStyle name="Normal 4 2 2 3 8 3 2" xfId="15695" xr:uid="{53D3D761-9E3B-45BD-B71D-30E6C3D28376}"/>
    <cellStyle name="Normal 4 2 2 3 8 4" xfId="11478" xr:uid="{CBEB9273-90B2-4046-84A7-EFF13B17E57A}"/>
    <cellStyle name="Normal 4 2 2 3 9" xfId="2499" xr:uid="{00000000-0005-0000-0000-000090120000}"/>
    <cellStyle name="Normal 4 2 2 3 9 2" xfId="6782" xr:uid="{00000000-0005-0000-0000-000091120000}"/>
    <cellStyle name="Normal 4 2 2 3 9 2 2" xfId="16108" xr:uid="{DCC6262C-9E0A-4647-8357-2B96045F4D0A}"/>
    <cellStyle name="Normal 4 2 2 3 9 3" xfId="11891" xr:uid="{592FCD1A-DFAB-4E0E-826A-EACB7FD24779}"/>
    <cellStyle name="Normal 4 2 2 4" xfId="347" xr:uid="{00000000-0005-0000-0000-000092120000}"/>
    <cellStyle name="Normal 4 2 2 4 10" xfId="8818" xr:uid="{A73977A7-52C6-4368-9F59-166E1B99BBDE}"/>
    <cellStyle name="Normal 4 2 2 4 11" xfId="9834" xr:uid="{FB106DC7-6A0B-4F81-9282-1098AF03558D}"/>
    <cellStyle name="Normal 4 2 2 4 2" xfId="348" xr:uid="{00000000-0005-0000-0000-000093120000}"/>
    <cellStyle name="Normal 4 2 2 4 2 10" xfId="9835" xr:uid="{74B5B07F-09E4-4ADD-8027-FBB291DAAA36}"/>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BE850B2A-BE04-45B3-A2B7-961955771DBE}"/>
    <cellStyle name="Normal 4 2 2 4 2 2 2 2 3" xfId="12394" xr:uid="{3D428E04-C767-4432-B64D-B43C0CFF4A0A}"/>
    <cellStyle name="Normal 4 2 2 4 2 2 2 3" xfId="5140" xr:uid="{00000000-0005-0000-0000-000098120000}"/>
    <cellStyle name="Normal 4 2 2 4 2 2 2 3 2" xfId="14466" xr:uid="{3AE0624F-0C2F-4BC5-8B6C-7751743F72C8}"/>
    <cellStyle name="Normal 4 2 2 4 2 2 2 4" xfId="9553" xr:uid="{7FCAF883-2374-4470-BA95-AD8EB054639C}"/>
    <cellStyle name="Normal 4 2 2 4 2 2 2 5" xfId="10249" xr:uid="{AE4E38A4-2A18-4E5D-AF43-2EE55EE935A9}"/>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858405B4-99C4-4A56-92E7-3BA648D58AC7}"/>
    <cellStyle name="Normal 4 2 2 4 2 2 3 2 3" xfId="12807" xr:uid="{A2376679-E719-4DB7-AFF9-49284F86A002}"/>
    <cellStyle name="Normal 4 2 2 4 2 2 3 3" xfId="5553" xr:uid="{00000000-0005-0000-0000-00009C120000}"/>
    <cellStyle name="Normal 4 2 2 4 2 2 3 3 2" xfId="14879" xr:uid="{C0DF3F1F-0E00-4747-844C-9A3F5DC0BE51}"/>
    <cellStyle name="Normal 4 2 2 4 2 2 3 4" xfId="10662" xr:uid="{970DC68E-F17E-4C9C-87A1-4FD51A969C0E}"/>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1A917966-482B-4574-9260-E5873B915CC1}"/>
    <cellStyle name="Normal 4 2 2 4 2 2 4 2 3" xfId="13220" xr:uid="{C14DF370-3FC4-481E-A62D-6E9ACD39F8D4}"/>
    <cellStyle name="Normal 4 2 2 4 2 2 4 3" xfId="5966" xr:uid="{00000000-0005-0000-0000-0000A0120000}"/>
    <cellStyle name="Normal 4 2 2 4 2 2 4 3 2" xfId="15292" xr:uid="{CA41CCEC-53A5-4F93-892E-70F039971029}"/>
    <cellStyle name="Normal 4 2 2 4 2 2 4 4" xfId="11075" xr:uid="{B495B109-6650-42A7-B66F-028B6509856E}"/>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C96AEC83-535C-46BB-95F6-A17C0E598FD9}"/>
    <cellStyle name="Normal 4 2 2 4 2 2 5 2 3" xfId="13633" xr:uid="{427EB580-B83E-4EBE-9A4F-BD319EF5953C}"/>
    <cellStyle name="Normal 4 2 2 4 2 2 5 3" xfId="6379" xr:uid="{00000000-0005-0000-0000-0000A4120000}"/>
    <cellStyle name="Normal 4 2 2 4 2 2 5 3 2" xfId="15705" xr:uid="{0738BEB9-BE25-44AB-81F2-880225ECF776}"/>
    <cellStyle name="Normal 4 2 2 4 2 2 5 4" xfId="11488" xr:uid="{C3E7A60C-4E67-4D41-A719-02B299CF9720}"/>
    <cellStyle name="Normal 4 2 2 4 2 2 6" xfId="2509" xr:uid="{00000000-0005-0000-0000-0000A5120000}"/>
    <cellStyle name="Normal 4 2 2 4 2 2 6 2" xfId="6792" xr:uid="{00000000-0005-0000-0000-0000A6120000}"/>
    <cellStyle name="Normal 4 2 2 4 2 2 6 2 2" xfId="16118" xr:uid="{A5246B6F-E5E9-4263-8766-5DDB7E137B3D}"/>
    <cellStyle name="Normal 4 2 2 4 2 2 6 3" xfId="11901" xr:uid="{3B5A6F28-9C13-4F3D-802A-BD205856909F}"/>
    <cellStyle name="Normal 4 2 2 4 2 2 7" xfId="4727" xr:uid="{00000000-0005-0000-0000-0000A7120000}"/>
    <cellStyle name="Normal 4 2 2 4 2 2 7 2" xfId="14053" xr:uid="{166FD7A5-4E87-4630-8AD7-590CAFC47944}"/>
    <cellStyle name="Normal 4 2 2 4 2 2 8" xfId="9128" xr:uid="{3D9AD2A4-E3D1-4BAF-8F43-BFB1FE8E222D}"/>
    <cellStyle name="Normal 4 2 2 4 2 2 9" xfId="9836" xr:uid="{E39AA57D-0557-43EC-97DA-C04A85BA9047}"/>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7133FF20-9B3A-443E-A1A0-AFC14476374A}"/>
    <cellStyle name="Normal 4 2 2 4 2 3 2 3" xfId="12393" xr:uid="{2980A6D1-9913-4938-8B58-BB51A3953FC5}"/>
    <cellStyle name="Normal 4 2 2 4 2 3 3" xfId="5139" xr:uid="{00000000-0005-0000-0000-0000AB120000}"/>
    <cellStyle name="Normal 4 2 2 4 2 3 3 2" xfId="14465" xr:uid="{3F10489C-CDC9-47E2-A915-F899C0648B11}"/>
    <cellStyle name="Normal 4 2 2 4 2 3 4" xfId="9346" xr:uid="{11110DEC-01F5-467C-B0F9-3286FF7E57CB}"/>
    <cellStyle name="Normal 4 2 2 4 2 3 5" xfId="10248" xr:uid="{AE3A83FA-1BB3-4F50-99F9-346158CCBE0C}"/>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5A3E8A68-9D92-4039-98BB-E552DE61FEC8}"/>
    <cellStyle name="Normal 4 2 2 4 2 4 2 3" xfId="12806" xr:uid="{A3EF19C4-6A82-4DE6-8DC2-926B6B8D38F2}"/>
    <cellStyle name="Normal 4 2 2 4 2 4 3" xfId="5552" xr:uid="{00000000-0005-0000-0000-0000AF120000}"/>
    <cellStyle name="Normal 4 2 2 4 2 4 3 2" xfId="14878" xr:uid="{C9B37148-E766-4033-A631-971B5E15284B}"/>
    <cellStyle name="Normal 4 2 2 4 2 4 4" xfId="10661" xr:uid="{CE928968-91E5-4879-BF90-26C8011C2DDB}"/>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F1595D1E-C0CE-4231-A546-9F9B97CDF0B1}"/>
    <cellStyle name="Normal 4 2 2 4 2 5 2 3" xfId="13219" xr:uid="{A5FF899F-1D9B-4D8A-8719-6D74C77EB69A}"/>
    <cellStyle name="Normal 4 2 2 4 2 5 3" xfId="5965" xr:uid="{00000000-0005-0000-0000-0000B3120000}"/>
    <cellStyle name="Normal 4 2 2 4 2 5 3 2" xfId="15291" xr:uid="{FB074201-D75B-4AE7-A446-306D403B8C5C}"/>
    <cellStyle name="Normal 4 2 2 4 2 5 4" xfId="11074" xr:uid="{C72E920C-7BE1-4130-AA74-DCBCB9F0DB82}"/>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7585E438-7605-48EA-AACF-C6BE418BF16C}"/>
    <cellStyle name="Normal 4 2 2 4 2 6 2 3" xfId="13632" xr:uid="{B406B9BA-447A-4FE5-8AD1-85B129D9681D}"/>
    <cellStyle name="Normal 4 2 2 4 2 6 3" xfId="6378" xr:uid="{00000000-0005-0000-0000-0000B7120000}"/>
    <cellStyle name="Normal 4 2 2 4 2 6 3 2" xfId="15704" xr:uid="{13D8C2A4-BE04-4E51-A903-295C0E97AFCE}"/>
    <cellStyle name="Normal 4 2 2 4 2 6 4" xfId="11487" xr:uid="{88079A9B-B940-44E8-B796-91476FB0E19A}"/>
    <cellStyle name="Normal 4 2 2 4 2 7" xfId="2508" xr:uid="{00000000-0005-0000-0000-0000B8120000}"/>
    <cellStyle name="Normal 4 2 2 4 2 7 2" xfId="6791" xr:uid="{00000000-0005-0000-0000-0000B9120000}"/>
    <cellStyle name="Normal 4 2 2 4 2 7 2 2" xfId="16117" xr:uid="{4A2347A9-9609-41F0-829C-EAD878DA6B99}"/>
    <cellStyle name="Normal 4 2 2 4 2 7 3" xfId="11900" xr:uid="{BAD07054-6E90-437A-BB1E-954EA762B682}"/>
    <cellStyle name="Normal 4 2 2 4 2 8" xfId="4726" xr:uid="{00000000-0005-0000-0000-0000BA120000}"/>
    <cellStyle name="Normal 4 2 2 4 2 8 2" xfId="14052" xr:uid="{4F6C39D6-DC27-4EE2-A703-5E05DA54183E}"/>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E1BAF70F-7C20-44AB-A0AC-2098544C4251}"/>
    <cellStyle name="Normal 4 2 2 4 3 2 2 3" xfId="12395" xr:uid="{D847BD21-AB09-4DC1-8829-036814C123DB}"/>
    <cellStyle name="Normal 4 2 2 4 3 2 3" xfId="5141" xr:uid="{00000000-0005-0000-0000-0000BF120000}"/>
    <cellStyle name="Normal 4 2 2 4 3 2 3 2" xfId="14467" xr:uid="{FC15F402-9621-4F69-A5EF-C5CC11A368F3}"/>
    <cellStyle name="Normal 4 2 2 4 3 2 4" xfId="9450" xr:uid="{0F54578A-5DA3-4B6E-9E36-71CC7CD6BFE8}"/>
    <cellStyle name="Normal 4 2 2 4 3 2 5" xfId="10250" xr:uid="{14991439-73C3-466B-801A-C7DD0F94343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A6BDEFF1-15BB-4F12-9A2D-496F21434C8C}"/>
    <cellStyle name="Normal 4 2 2 4 3 3 2 3" xfId="12808" xr:uid="{A6EA5768-761D-4006-95BE-6DA82B36C321}"/>
    <cellStyle name="Normal 4 2 2 4 3 3 3" xfId="5554" xr:uid="{00000000-0005-0000-0000-0000C3120000}"/>
    <cellStyle name="Normal 4 2 2 4 3 3 3 2" xfId="14880" xr:uid="{F2162F9C-2857-41EB-B9B2-79CF6A923AB4}"/>
    <cellStyle name="Normal 4 2 2 4 3 3 4" xfId="10663" xr:uid="{8B8BE283-ECDC-42A6-8F1A-49C417862EED}"/>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A5194326-223E-4153-8FF2-96C1C4B8B6D5}"/>
    <cellStyle name="Normal 4 2 2 4 3 4 2 3" xfId="13221" xr:uid="{CE8F798E-A1E8-4A6C-9126-4C05697B1801}"/>
    <cellStyle name="Normal 4 2 2 4 3 4 3" xfId="5967" xr:uid="{00000000-0005-0000-0000-0000C7120000}"/>
    <cellStyle name="Normal 4 2 2 4 3 4 3 2" xfId="15293" xr:uid="{44E3A4B0-2276-49C6-A092-9392E544019E}"/>
    <cellStyle name="Normal 4 2 2 4 3 4 4" xfId="11076" xr:uid="{69D36166-793A-4C50-9D8D-53B93D29D0B9}"/>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B0254EA3-4AF4-4DF2-B582-534B1BD3E967}"/>
    <cellStyle name="Normal 4 2 2 4 3 5 2 3" xfId="13634" xr:uid="{AAFC1AC2-87F2-4FD3-B44C-109D5C92A2AE}"/>
    <cellStyle name="Normal 4 2 2 4 3 5 3" xfId="6380" xr:uid="{00000000-0005-0000-0000-0000CB120000}"/>
    <cellStyle name="Normal 4 2 2 4 3 5 3 2" xfId="15706" xr:uid="{1AC7173C-CBF3-41E6-A87D-2516199B2142}"/>
    <cellStyle name="Normal 4 2 2 4 3 5 4" xfId="11489" xr:uid="{34977B8F-4F8C-4312-B47A-38A6CC015933}"/>
    <cellStyle name="Normal 4 2 2 4 3 6" xfId="2510" xr:uid="{00000000-0005-0000-0000-0000CC120000}"/>
    <cellStyle name="Normal 4 2 2 4 3 6 2" xfId="6793" xr:uid="{00000000-0005-0000-0000-0000CD120000}"/>
    <cellStyle name="Normal 4 2 2 4 3 6 2 2" xfId="16119" xr:uid="{2EED8D7B-34C5-423F-90E2-6ECA2CCFD192}"/>
    <cellStyle name="Normal 4 2 2 4 3 6 3" xfId="11902" xr:uid="{FCA2C63E-5D38-45B7-812D-7AA058850BEB}"/>
    <cellStyle name="Normal 4 2 2 4 3 7" xfId="4728" xr:uid="{00000000-0005-0000-0000-0000CE120000}"/>
    <cellStyle name="Normal 4 2 2 4 3 7 2" xfId="14054" xr:uid="{F5D84375-64EB-41B0-9AC5-5043855A1597}"/>
    <cellStyle name="Normal 4 2 2 4 3 8" xfId="9025" xr:uid="{436CB353-A916-4AB2-B5E2-8C1BDAEA1182}"/>
    <cellStyle name="Normal 4 2 2 4 3 9" xfId="9837" xr:uid="{FCF3608E-7827-4F2B-9E2E-16102148071D}"/>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0B9735E2-0B8A-4449-B126-2DE811BCC7D6}"/>
    <cellStyle name="Normal 4 2 2 4 4 2 3" xfId="12392" xr:uid="{5FB8560C-98AC-4634-B4BE-3CDA4C48D5BC}"/>
    <cellStyle name="Normal 4 2 2 4 4 3" xfId="5138" xr:uid="{00000000-0005-0000-0000-0000D2120000}"/>
    <cellStyle name="Normal 4 2 2 4 4 3 2" xfId="14464" xr:uid="{6A74D1D8-242D-471A-9720-6467B87E35EA}"/>
    <cellStyle name="Normal 4 2 2 4 4 4" xfId="9243" xr:uid="{FD46A281-F5BE-478B-950E-209D1D56FC0E}"/>
    <cellStyle name="Normal 4 2 2 4 4 5" xfId="10247" xr:uid="{69204DBF-EA07-408A-BA7C-7DC931F5F754}"/>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9C171112-3292-464E-AD9A-98A4060D4B1F}"/>
    <cellStyle name="Normal 4 2 2 4 5 2 3" xfId="12805" xr:uid="{1F6F1442-8CD4-44A1-AF4C-A19DFBD5F566}"/>
    <cellStyle name="Normal 4 2 2 4 5 3" xfId="5551" xr:uid="{00000000-0005-0000-0000-0000D6120000}"/>
    <cellStyle name="Normal 4 2 2 4 5 3 2" xfId="14877" xr:uid="{32C5E448-F526-40E1-9E20-AAD92013641A}"/>
    <cellStyle name="Normal 4 2 2 4 5 4" xfId="10660" xr:uid="{F2404488-8B67-4936-BE31-7EFE5721FBE9}"/>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8269D239-2FA7-4355-BCF0-65769A7DD379}"/>
    <cellStyle name="Normal 4 2 2 4 6 2 3" xfId="13218" xr:uid="{FC25B5E7-3C20-43A9-A14A-71E9B4A59247}"/>
    <cellStyle name="Normal 4 2 2 4 6 3" xfId="5964" xr:uid="{00000000-0005-0000-0000-0000DA120000}"/>
    <cellStyle name="Normal 4 2 2 4 6 3 2" xfId="15290" xr:uid="{0A730FA6-A165-4DA2-AD23-755EA558C950}"/>
    <cellStyle name="Normal 4 2 2 4 6 4" xfId="11073" xr:uid="{89F7422C-1E01-442A-A1A6-C4608A035E8F}"/>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B3A954DE-5A1F-49D2-8E7F-13464EF83034}"/>
    <cellStyle name="Normal 4 2 2 4 7 2 3" xfId="13631" xr:uid="{3FFDFF45-06C6-415D-B328-4BD5B4311744}"/>
    <cellStyle name="Normal 4 2 2 4 7 3" xfId="6377" xr:uid="{00000000-0005-0000-0000-0000DE120000}"/>
    <cellStyle name="Normal 4 2 2 4 7 3 2" xfId="15703" xr:uid="{A3C8D076-CAEE-4D0C-8C35-80FBBA972CCF}"/>
    <cellStyle name="Normal 4 2 2 4 7 4" xfId="11486" xr:uid="{61872DE2-D4E7-48BF-9153-4CA2EBF4914F}"/>
    <cellStyle name="Normal 4 2 2 4 8" xfId="2507" xr:uid="{00000000-0005-0000-0000-0000DF120000}"/>
    <cellStyle name="Normal 4 2 2 4 8 2" xfId="6790" xr:uid="{00000000-0005-0000-0000-0000E0120000}"/>
    <cellStyle name="Normal 4 2 2 4 8 2 2" xfId="16116" xr:uid="{03BDDF15-D029-4000-A796-E71963EEE8CD}"/>
    <cellStyle name="Normal 4 2 2 4 8 3" xfId="11899" xr:uid="{5B2C2563-24B2-4C62-8628-2536F2D0FF8A}"/>
    <cellStyle name="Normal 4 2 2 4 9" xfId="4725" xr:uid="{00000000-0005-0000-0000-0000E1120000}"/>
    <cellStyle name="Normal 4 2 2 4 9 2" xfId="14051" xr:uid="{8DAA6E0D-E299-4DCA-A989-1231721E4A72}"/>
    <cellStyle name="Normal 4 2 2 5" xfId="351" xr:uid="{00000000-0005-0000-0000-0000E2120000}"/>
    <cellStyle name="Normal 4 2 2 5 10" xfId="9838" xr:uid="{5C38765F-11C5-4828-AA82-58F863E92ADE}"/>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C6A867E4-292E-47DB-AA90-E3854E965254}"/>
    <cellStyle name="Normal 4 2 2 5 2 2 2 3" xfId="12397" xr:uid="{77B13C64-E9CE-4F19-A8A8-E6B4D9EBA4C0}"/>
    <cellStyle name="Normal 4 2 2 5 2 2 3" xfId="5143" xr:uid="{00000000-0005-0000-0000-0000E7120000}"/>
    <cellStyle name="Normal 4 2 2 5 2 2 3 2" xfId="14469" xr:uid="{BD1EB251-A403-477C-95E7-8F4A8EB48E31}"/>
    <cellStyle name="Normal 4 2 2 5 2 2 4" xfId="9487" xr:uid="{83D2756E-B983-4EA9-AB48-FF4D3E821CE4}"/>
    <cellStyle name="Normal 4 2 2 5 2 2 5" xfId="10252" xr:uid="{46B2694B-2803-40FA-9A6C-3CD5B17A1FA7}"/>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B7F615A5-5438-44E5-972B-0435624FD9F8}"/>
    <cellStyle name="Normal 4 2 2 5 2 3 2 3" xfId="12810" xr:uid="{BA8F0BE3-9B51-4802-B576-678C21C75147}"/>
    <cellStyle name="Normal 4 2 2 5 2 3 3" xfId="5556" xr:uid="{00000000-0005-0000-0000-0000EB120000}"/>
    <cellStyle name="Normal 4 2 2 5 2 3 3 2" xfId="14882" xr:uid="{321098FE-5F55-41B6-8449-81F9CD1312E7}"/>
    <cellStyle name="Normal 4 2 2 5 2 3 4" xfId="10665" xr:uid="{01FB5635-8724-4964-B9A7-CD1FE903D544}"/>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5ED04E25-4FF2-478B-B7F7-07A4C46D1BB8}"/>
    <cellStyle name="Normal 4 2 2 5 2 4 2 3" xfId="13223" xr:uid="{511993D8-5397-4D19-A87F-D0874ADA7978}"/>
    <cellStyle name="Normal 4 2 2 5 2 4 3" xfId="5969" xr:uid="{00000000-0005-0000-0000-0000EF120000}"/>
    <cellStyle name="Normal 4 2 2 5 2 4 3 2" xfId="15295" xr:uid="{6A6ED61D-9C6B-4A86-B1E4-4073C1282F34}"/>
    <cellStyle name="Normal 4 2 2 5 2 4 4" xfId="11078" xr:uid="{8965C52E-52FB-4082-8AF8-899552230A0B}"/>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EDD8D0A9-0A3F-4530-B25B-34D31736CC9E}"/>
    <cellStyle name="Normal 4 2 2 5 2 5 2 3" xfId="13636" xr:uid="{97426B30-2A60-4843-A91C-14A9F0AA76AF}"/>
    <cellStyle name="Normal 4 2 2 5 2 5 3" xfId="6382" xr:uid="{00000000-0005-0000-0000-0000F3120000}"/>
    <cellStyle name="Normal 4 2 2 5 2 5 3 2" xfId="15708" xr:uid="{4D9B35A2-C9C6-44FD-823E-FE02CEAA8EC6}"/>
    <cellStyle name="Normal 4 2 2 5 2 5 4" xfId="11491" xr:uid="{2FE37454-580A-4EAA-9C38-5039EB2B6905}"/>
    <cellStyle name="Normal 4 2 2 5 2 6" xfId="2512" xr:uid="{00000000-0005-0000-0000-0000F4120000}"/>
    <cellStyle name="Normal 4 2 2 5 2 6 2" xfId="6795" xr:uid="{00000000-0005-0000-0000-0000F5120000}"/>
    <cellStyle name="Normal 4 2 2 5 2 6 2 2" xfId="16121" xr:uid="{BFF5B4FC-26D9-47E6-95EA-37DD5F924398}"/>
    <cellStyle name="Normal 4 2 2 5 2 6 3" xfId="11904" xr:uid="{A1830FAB-A98F-4721-9C56-7ACAECC88B3E}"/>
    <cellStyle name="Normal 4 2 2 5 2 7" xfId="4730" xr:uid="{00000000-0005-0000-0000-0000F6120000}"/>
    <cellStyle name="Normal 4 2 2 5 2 7 2" xfId="14056" xr:uid="{3935EC06-47E3-4A1A-87AF-B1E94D7BE403}"/>
    <cellStyle name="Normal 4 2 2 5 2 8" xfId="9062" xr:uid="{FED54422-C2E5-44B3-AA7C-C6088F47A385}"/>
    <cellStyle name="Normal 4 2 2 5 2 9" xfId="9839" xr:uid="{AB49606F-DFEF-4455-B030-A30DC370525F}"/>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93548B8B-7EA3-49CB-A844-1F31076BD9BF}"/>
    <cellStyle name="Normal 4 2 2 5 3 2 3" xfId="12396" xr:uid="{DA36667F-A7AC-4095-BA5E-C6A537346C2B}"/>
    <cellStyle name="Normal 4 2 2 5 3 3" xfId="5142" xr:uid="{00000000-0005-0000-0000-0000FA120000}"/>
    <cellStyle name="Normal 4 2 2 5 3 3 2" xfId="14468" xr:uid="{050B135D-5C4A-4C4D-959A-AE779058BA0E}"/>
    <cellStyle name="Normal 4 2 2 5 3 4" xfId="9280" xr:uid="{C70B18D8-E279-4D37-82EF-3177E9FA554F}"/>
    <cellStyle name="Normal 4 2 2 5 3 5" xfId="10251" xr:uid="{0FD816C8-485C-4089-ADA6-680DD872924B}"/>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F3E1A9B9-62B4-424E-9331-35F0FDE328CA}"/>
    <cellStyle name="Normal 4 2 2 5 4 2 3" xfId="12809" xr:uid="{079B4AC4-D24A-4361-B2FD-F24F65BEB37D}"/>
    <cellStyle name="Normal 4 2 2 5 4 3" xfId="5555" xr:uid="{00000000-0005-0000-0000-0000FE120000}"/>
    <cellStyle name="Normal 4 2 2 5 4 3 2" xfId="14881" xr:uid="{05DA3BB4-B0C8-4224-A7DD-E2993F644212}"/>
    <cellStyle name="Normal 4 2 2 5 4 4" xfId="10664" xr:uid="{36385D3F-84C1-4680-B21A-4059CA66A133}"/>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E4B870D8-9DDB-42AC-8A2A-1AC4AF71C570}"/>
    <cellStyle name="Normal 4 2 2 5 5 2 3" xfId="13222" xr:uid="{F3685C16-BAA5-4E47-86E9-6D339993ECB9}"/>
    <cellStyle name="Normal 4 2 2 5 5 3" xfId="5968" xr:uid="{00000000-0005-0000-0000-000002130000}"/>
    <cellStyle name="Normal 4 2 2 5 5 3 2" xfId="15294" xr:uid="{4CBCB2F4-3F3A-46C1-A2F4-BB0A1BE71850}"/>
    <cellStyle name="Normal 4 2 2 5 5 4" xfId="11077" xr:uid="{32A7D58B-484C-495B-9044-B0ACB7D693FC}"/>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16749825-6CE4-48AD-91D0-46F1EEECF75B}"/>
    <cellStyle name="Normal 4 2 2 5 6 2 3" xfId="13635" xr:uid="{37AB678E-0A88-4AE4-8B2D-08AC61A8A30B}"/>
    <cellStyle name="Normal 4 2 2 5 6 3" xfId="6381" xr:uid="{00000000-0005-0000-0000-000006130000}"/>
    <cellStyle name="Normal 4 2 2 5 6 3 2" xfId="15707" xr:uid="{DF655A5D-427B-49BF-A321-744E7017C058}"/>
    <cellStyle name="Normal 4 2 2 5 6 4" xfId="11490" xr:uid="{2E8BDB19-71BA-4AC8-A6E6-850E5E4B9EB3}"/>
    <cellStyle name="Normal 4 2 2 5 7" xfId="2511" xr:uid="{00000000-0005-0000-0000-000007130000}"/>
    <cellStyle name="Normal 4 2 2 5 7 2" xfId="6794" xr:uid="{00000000-0005-0000-0000-000008130000}"/>
    <cellStyle name="Normal 4 2 2 5 7 2 2" xfId="16120" xr:uid="{8E35067F-B182-4540-B353-3B493DCFF48C}"/>
    <cellStyle name="Normal 4 2 2 5 7 3" xfId="11903" xr:uid="{04E9788F-C789-4026-B7D1-46B22E241D41}"/>
    <cellStyle name="Normal 4 2 2 5 8" xfId="4729" xr:uid="{00000000-0005-0000-0000-000009130000}"/>
    <cellStyle name="Normal 4 2 2 5 8 2" xfId="14055" xr:uid="{6AF8A9A0-8D8D-436C-8A0B-9999755471C6}"/>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FA6BEDC9-BC78-4434-BEA7-75CE55B78AA4}"/>
    <cellStyle name="Normal 4 2 2 6 2 2 3" xfId="12398" xr:uid="{E3CE23FD-8CA2-48E0-B76A-C2757FBE6803}"/>
    <cellStyle name="Normal 4 2 2 6 2 3" xfId="5144" xr:uid="{00000000-0005-0000-0000-00000E130000}"/>
    <cellStyle name="Normal 4 2 2 6 2 3 2" xfId="14470" xr:uid="{9E331595-355B-4B57-9159-C0AFCDB74D68}"/>
    <cellStyle name="Normal 4 2 2 6 2 4" xfId="9396" xr:uid="{5B10E6C6-987A-4149-BB81-321A07C7666F}"/>
    <cellStyle name="Normal 4 2 2 6 2 5" xfId="10253" xr:uid="{7728DA80-E3F1-4157-BE1B-0511F5822202}"/>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058E018B-09AA-4B00-A000-EC083DA25492}"/>
    <cellStyle name="Normal 4 2 2 6 3 2 3" xfId="12811" xr:uid="{3EA7ED88-CD81-47AF-8E96-A895CD937131}"/>
    <cellStyle name="Normal 4 2 2 6 3 3" xfId="5557" xr:uid="{00000000-0005-0000-0000-000012130000}"/>
    <cellStyle name="Normal 4 2 2 6 3 3 2" xfId="14883" xr:uid="{6D03B148-1B62-4884-BA87-B4E789A0B35E}"/>
    <cellStyle name="Normal 4 2 2 6 3 4" xfId="10666" xr:uid="{E1651409-2002-4C85-B99F-CC1BC5E48C36}"/>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DEA8A52E-A4ED-4C01-B052-B5FEA5A7C188}"/>
    <cellStyle name="Normal 4 2 2 6 4 2 3" xfId="13224" xr:uid="{B1A72D91-049A-4C94-96B9-D65CF1923B6F}"/>
    <cellStyle name="Normal 4 2 2 6 4 3" xfId="5970" xr:uid="{00000000-0005-0000-0000-000016130000}"/>
    <cellStyle name="Normal 4 2 2 6 4 3 2" xfId="15296" xr:uid="{DC1904D7-EB6E-4D9D-AE7A-24E5AD407F7D}"/>
    <cellStyle name="Normal 4 2 2 6 4 4" xfId="11079" xr:uid="{BAD5A5CD-80CB-4E96-B6CD-280EE8833D11}"/>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7D095B14-94D8-4A00-9001-EC543D2A8203}"/>
    <cellStyle name="Normal 4 2 2 6 5 2 3" xfId="13637" xr:uid="{4C899BAB-7B3F-46EC-87EF-89B49215D85D}"/>
    <cellStyle name="Normal 4 2 2 6 5 3" xfId="6383" xr:uid="{00000000-0005-0000-0000-00001A130000}"/>
    <cellStyle name="Normal 4 2 2 6 5 3 2" xfId="15709" xr:uid="{972934CB-BCFF-45C6-8A54-2DB2929E296E}"/>
    <cellStyle name="Normal 4 2 2 6 5 4" xfId="11492" xr:uid="{30F0127B-F496-4CFA-AD7D-EDE635DF1CB2}"/>
    <cellStyle name="Normal 4 2 2 6 6" xfId="2513" xr:uid="{00000000-0005-0000-0000-00001B130000}"/>
    <cellStyle name="Normal 4 2 2 6 6 2" xfId="6796" xr:uid="{00000000-0005-0000-0000-00001C130000}"/>
    <cellStyle name="Normal 4 2 2 6 6 2 2" xfId="16122" xr:uid="{CB83357A-766D-4382-9779-21B1343C12E4}"/>
    <cellStyle name="Normal 4 2 2 6 6 3" xfId="11905" xr:uid="{79008402-E046-41EE-93A2-57261AAAA2D9}"/>
    <cellStyle name="Normal 4 2 2 6 7" xfId="4731" xr:uid="{00000000-0005-0000-0000-00001D130000}"/>
    <cellStyle name="Normal 4 2 2 6 7 2" xfId="14057" xr:uid="{11FB3EE8-A88F-4858-8112-5EF5641E4717}"/>
    <cellStyle name="Normal 4 2 2 6 8" xfId="8971" xr:uid="{7BBA3CD4-2D32-439A-A2D5-9F7EB5E5A47E}"/>
    <cellStyle name="Normal 4 2 2 6 9" xfId="9840" xr:uid="{205EAF77-8BF4-43CA-B676-FD69C37F60AA}"/>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BC758F7A-F6EB-42BA-98A5-C2A026DA8D85}"/>
    <cellStyle name="Normal 4 2 2 7 2 3" xfId="12383" xr:uid="{245E50C6-484D-4971-AFB0-61FCDE47DD79}"/>
    <cellStyle name="Normal 4 2 2 7 3" xfId="5129" xr:uid="{00000000-0005-0000-0000-000021130000}"/>
    <cellStyle name="Normal 4 2 2 7 3 2" xfId="14455" xr:uid="{F861325E-797D-4729-8C85-15009C3FB376}"/>
    <cellStyle name="Normal 4 2 2 7 4" xfId="9174" xr:uid="{5FB177AF-8B2E-4B7E-A1B7-4F6E323AF880}"/>
    <cellStyle name="Normal 4 2 2 7 5" xfId="10238" xr:uid="{26DAFA66-324A-4D47-888E-4005CD8F4B48}"/>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072DD605-CFBC-40B9-8834-0ABB685B83D1}"/>
    <cellStyle name="Normal 4 2 2 8 2 3" xfId="12796" xr:uid="{B82F5A8B-086F-4B26-B73E-33EC856B00F4}"/>
    <cellStyle name="Normal 4 2 2 8 3" xfId="5542" xr:uid="{00000000-0005-0000-0000-000025130000}"/>
    <cellStyle name="Normal 4 2 2 8 3 2" xfId="14868" xr:uid="{FC4B18B4-C428-420E-85CF-DD0CF63F4EA7}"/>
    <cellStyle name="Normal 4 2 2 8 4" xfId="10651" xr:uid="{FB1CEDA2-DE3A-4D68-9731-1003EF14F7FE}"/>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55C04B20-6659-4769-9BED-CAF097C26E12}"/>
    <cellStyle name="Normal 4 2 2 9 2 3" xfId="13209" xr:uid="{B579CC32-24C5-40AF-A81B-6B704F4840C6}"/>
    <cellStyle name="Normal 4 2 2 9 3" xfId="5955" xr:uid="{00000000-0005-0000-0000-000029130000}"/>
    <cellStyle name="Normal 4 2 2 9 3 2" xfId="15281" xr:uid="{6B691891-7B10-4726-93D5-330222442605}"/>
    <cellStyle name="Normal 4 2 2 9 4" xfId="11064" xr:uid="{3E668DB8-AEB1-4E7F-B89D-9598B8DACE48}"/>
    <cellStyle name="Normal 4 2 3" xfId="354" xr:uid="{00000000-0005-0000-0000-00002A130000}"/>
    <cellStyle name="Normal 4 2 4" xfId="355" xr:uid="{00000000-0005-0000-0000-00002B130000}"/>
    <cellStyle name="Normal 4 2 4 10" xfId="4732" xr:uid="{00000000-0005-0000-0000-00002C130000}"/>
    <cellStyle name="Normal 4 2 4 10 2" xfId="14058" xr:uid="{1CD97986-B370-44F0-8125-A8D1901E0B0E}"/>
    <cellStyle name="Normal 4 2 4 11" xfId="8775" xr:uid="{7AC259AB-9C32-4DC1-A787-2E2187A7C2D6}"/>
    <cellStyle name="Normal 4 2 4 12" xfId="9841" xr:uid="{04D2C84B-FA34-4C8B-B87C-D43031998060}"/>
    <cellStyle name="Normal 4 2 4 2" xfId="356" xr:uid="{00000000-0005-0000-0000-00002D130000}"/>
    <cellStyle name="Normal 4 2 4 2 10" xfId="8820" xr:uid="{8B50D4F4-4786-467C-8322-69D665B73C2B}"/>
    <cellStyle name="Normal 4 2 4 2 11" xfId="9842" xr:uid="{6391FF8C-B1C8-4F2A-B2A7-675CA3944C22}"/>
    <cellStyle name="Normal 4 2 4 2 2" xfId="357" xr:uid="{00000000-0005-0000-0000-00002E130000}"/>
    <cellStyle name="Normal 4 2 4 2 2 10" xfId="9843" xr:uid="{41452A4E-320D-4199-9E7B-795DFC01E083}"/>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A663E921-3FE9-4218-9B89-D5B465842B90}"/>
    <cellStyle name="Normal 4 2 4 2 2 2 2 2 3" xfId="12402" xr:uid="{BAAD3435-100D-4988-91AA-920AFE6AFA6A}"/>
    <cellStyle name="Normal 4 2 4 2 2 2 2 3" xfId="5148" xr:uid="{00000000-0005-0000-0000-000033130000}"/>
    <cellStyle name="Normal 4 2 4 2 2 2 2 3 2" xfId="14474" xr:uid="{63DBE071-8B91-48BD-B91F-1607A7834B16}"/>
    <cellStyle name="Normal 4 2 4 2 2 2 2 4" xfId="9555" xr:uid="{31AE7BD4-4F26-4658-9939-15FCE733560E}"/>
    <cellStyle name="Normal 4 2 4 2 2 2 2 5" xfId="10257" xr:uid="{9A40ECD5-23E4-4EEE-A7F3-5977F420691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A3A389BC-26BF-4704-B06B-2BC6CFB8DD2F}"/>
    <cellStyle name="Normal 4 2 4 2 2 2 3 2 3" xfId="12815" xr:uid="{75B3F49A-345A-4D81-B5C5-5F9230C60E8B}"/>
    <cellStyle name="Normal 4 2 4 2 2 2 3 3" xfId="5561" xr:uid="{00000000-0005-0000-0000-000037130000}"/>
    <cellStyle name="Normal 4 2 4 2 2 2 3 3 2" xfId="14887" xr:uid="{8A11BFB7-DA39-4F66-8DC7-18D0387A9A17}"/>
    <cellStyle name="Normal 4 2 4 2 2 2 3 4" xfId="10670" xr:uid="{A85815CF-3EDD-4F6A-A7BA-BAB451CB914C}"/>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5CAFEBF4-1923-43CD-97ED-912C2170103D}"/>
    <cellStyle name="Normal 4 2 4 2 2 2 4 2 3" xfId="13228" xr:uid="{E80BA924-EBE8-4708-9A2D-D4C8A786FA9F}"/>
    <cellStyle name="Normal 4 2 4 2 2 2 4 3" xfId="5974" xr:uid="{00000000-0005-0000-0000-00003B130000}"/>
    <cellStyle name="Normal 4 2 4 2 2 2 4 3 2" xfId="15300" xr:uid="{E5816485-CBB3-401A-A6C2-E48CD11D2319}"/>
    <cellStyle name="Normal 4 2 4 2 2 2 4 4" xfId="11083" xr:uid="{FCF496D4-06AB-4991-A731-8E4E7D40638D}"/>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44607183-39B7-4CEA-9A88-C02A3211C038}"/>
    <cellStyle name="Normal 4 2 4 2 2 2 5 2 3" xfId="13641" xr:uid="{9DA673CE-3895-4762-9E8A-5DACF9EC7C88}"/>
    <cellStyle name="Normal 4 2 4 2 2 2 5 3" xfId="6387" xr:uid="{00000000-0005-0000-0000-00003F130000}"/>
    <cellStyle name="Normal 4 2 4 2 2 2 5 3 2" xfId="15713" xr:uid="{B003CDDA-71FF-451E-BB7C-448F6DA985B0}"/>
    <cellStyle name="Normal 4 2 4 2 2 2 5 4" xfId="11496" xr:uid="{A018EEAC-836D-4C37-B1D8-B315A1014F01}"/>
    <cellStyle name="Normal 4 2 4 2 2 2 6" xfId="2517" xr:uid="{00000000-0005-0000-0000-000040130000}"/>
    <cellStyle name="Normal 4 2 4 2 2 2 6 2" xfId="6800" xr:uid="{00000000-0005-0000-0000-000041130000}"/>
    <cellStyle name="Normal 4 2 4 2 2 2 6 2 2" xfId="16126" xr:uid="{99909F18-4348-4303-848B-D4169C59EFDF}"/>
    <cellStyle name="Normal 4 2 4 2 2 2 6 3" xfId="11909" xr:uid="{5FB0AC1C-AB4F-4789-B20B-8C5879488EB4}"/>
    <cellStyle name="Normal 4 2 4 2 2 2 7" xfId="4735" xr:uid="{00000000-0005-0000-0000-000042130000}"/>
    <cellStyle name="Normal 4 2 4 2 2 2 7 2" xfId="14061" xr:uid="{F5501C77-A3A3-4E91-8856-15F0F9F195EE}"/>
    <cellStyle name="Normal 4 2 4 2 2 2 8" xfId="9130" xr:uid="{E4AAEB37-D6CE-4BD9-A166-BE52F754DAC4}"/>
    <cellStyle name="Normal 4 2 4 2 2 2 9" xfId="9844" xr:uid="{CD552886-8FEA-41F3-A533-7C3952676668}"/>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88DE874B-32A5-464C-9B4E-E2FFC69B8FD9}"/>
    <cellStyle name="Normal 4 2 4 2 2 3 2 3" xfId="12401" xr:uid="{71EEFC6E-DE4E-4C14-B887-693DC83E6F4A}"/>
    <cellStyle name="Normal 4 2 4 2 2 3 3" xfId="5147" xr:uid="{00000000-0005-0000-0000-000046130000}"/>
    <cellStyle name="Normal 4 2 4 2 2 3 3 2" xfId="14473" xr:uid="{F3B27D95-582D-4A3A-A281-FAF2647E906D}"/>
    <cellStyle name="Normal 4 2 4 2 2 3 4" xfId="9348" xr:uid="{E9E52CF6-B3CF-482F-B496-A22B0452951D}"/>
    <cellStyle name="Normal 4 2 4 2 2 3 5" xfId="10256" xr:uid="{7BBF273A-4B35-4A41-BE30-F5E88113CB5B}"/>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87BF9584-B3CE-444A-8E83-5D86890E4149}"/>
    <cellStyle name="Normal 4 2 4 2 2 4 2 3" xfId="12814" xr:uid="{E5CA92ED-4D94-4378-BEB7-F240F9B8A92E}"/>
    <cellStyle name="Normal 4 2 4 2 2 4 3" xfId="5560" xr:uid="{00000000-0005-0000-0000-00004A130000}"/>
    <cellStyle name="Normal 4 2 4 2 2 4 3 2" xfId="14886" xr:uid="{1FFFA598-D455-4532-B9C3-7A0B5BABE19F}"/>
    <cellStyle name="Normal 4 2 4 2 2 4 4" xfId="10669" xr:uid="{B86B14E5-9002-4A78-9D12-0FC0F9C9B1E5}"/>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161BA878-8B0E-492E-B2DF-B87E297FDD19}"/>
    <cellStyle name="Normal 4 2 4 2 2 5 2 3" xfId="13227" xr:uid="{E884FFD7-32FD-4B12-8963-18B8B09AB4AC}"/>
    <cellStyle name="Normal 4 2 4 2 2 5 3" xfId="5973" xr:uid="{00000000-0005-0000-0000-00004E130000}"/>
    <cellStyle name="Normal 4 2 4 2 2 5 3 2" xfId="15299" xr:uid="{E54AD6C1-666E-434F-93C5-5280E5CD5964}"/>
    <cellStyle name="Normal 4 2 4 2 2 5 4" xfId="11082" xr:uid="{2A5FD768-B14A-40AA-9BBB-E1484EAF0B4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9E97619E-D429-43A0-BC65-E17229CC098B}"/>
    <cellStyle name="Normal 4 2 4 2 2 6 2 3" xfId="13640" xr:uid="{22743D81-37DC-4A44-90AE-B3255568BBDA}"/>
    <cellStyle name="Normal 4 2 4 2 2 6 3" xfId="6386" xr:uid="{00000000-0005-0000-0000-000052130000}"/>
    <cellStyle name="Normal 4 2 4 2 2 6 3 2" xfId="15712" xr:uid="{A54F4BDC-455A-4526-9B9B-1CC2A0CB7EE1}"/>
    <cellStyle name="Normal 4 2 4 2 2 6 4" xfId="11495" xr:uid="{3216A88A-FE14-4F90-A5EB-60D65CC86663}"/>
    <cellStyle name="Normal 4 2 4 2 2 7" xfId="2516" xr:uid="{00000000-0005-0000-0000-000053130000}"/>
    <cellStyle name="Normal 4 2 4 2 2 7 2" xfId="6799" xr:uid="{00000000-0005-0000-0000-000054130000}"/>
    <cellStyle name="Normal 4 2 4 2 2 7 2 2" xfId="16125" xr:uid="{8F295679-E51D-4193-8B30-0058B0C64A92}"/>
    <cellStyle name="Normal 4 2 4 2 2 7 3" xfId="11908" xr:uid="{1D77FB16-BEC0-4189-89B9-463AE82AA2E6}"/>
    <cellStyle name="Normal 4 2 4 2 2 8" xfId="4734" xr:uid="{00000000-0005-0000-0000-000055130000}"/>
    <cellStyle name="Normal 4 2 4 2 2 8 2" xfId="14060" xr:uid="{0833F6C6-BA8C-414C-943C-ADC29BAE6C64}"/>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6A284379-FA35-4BFE-8F0E-3FAAEBE53B42}"/>
    <cellStyle name="Normal 4 2 4 2 3 2 2 3" xfId="12403" xr:uid="{A1C4DF12-AD18-43F4-90C1-B75835A8A52D}"/>
    <cellStyle name="Normal 4 2 4 2 3 2 3" xfId="5149" xr:uid="{00000000-0005-0000-0000-00005A130000}"/>
    <cellStyle name="Normal 4 2 4 2 3 2 3 2" xfId="14475" xr:uid="{442CDA2D-44EE-4205-82F9-2A57A38F9FAB}"/>
    <cellStyle name="Normal 4 2 4 2 3 2 4" xfId="9452" xr:uid="{58F46659-8F00-4705-8554-54AEBE9B8A77}"/>
    <cellStyle name="Normal 4 2 4 2 3 2 5" xfId="10258" xr:uid="{C7E5DF25-4959-4252-A3A1-4B8903CB9B5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2A7044BB-16FC-4E90-A84A-2A7CC3713D00}"/>
    <cellStyle name="Normal 4 2 4 2 3 3 2 3" xfId="12816" xr:uid="{02DF70F2-AF6B-46B2-9598-A2B508FC395E}"/>
    <cellStyle name="Normal 4 2 4 2 3 3 3" xfId="5562" xr:uid="{00000000-0005-0000-0000-00005E130000}"/>
    <cellStyle name="Normal 4 2 4 2 3 3 3 2" xfId="14888" xr:uid="{32BB2739-DFA1-4EB4-927B-AACB96AF9498}"/>
    <cellStyle name="Normal 4 2 4 2 3 3 4" xfId="10671" xr:uid="{0F18BC4D-8BA0-42F3-A86B-71F389537384}"/>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146C58C5-5AFA-4455-9675-90AA6F8E751C}"/>
    <cellStyle name="Normal 4 2 4 2 3 4 2 3" xfId="13229" xr:uid="{9DB8EAA3-01D8-41A7-B19B-FB2D0C805F9F}"/>
    <cellStyle name="Normal 4 2 4 2 3 4 3" xfId="5975" xr:uid="{00000000-0005-0000-0000-000062130000}"/>
    <cellStyle name="Normal 4 2 4 2 3 4 3 2" xfId="15301" xr:uid="{32F1D5A0-79A4-4A99-ACA3-57A2896527CA}"/>
    <cellStyle name="Normal 4 2 4 2 3 4 4" xfId="11084" xr:uid="{A08BA953-A2C7-4B13-9A4F-6930DFF6C40C}"/>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85A6BEEF-9F69-484C-AC0F-4A6B270FB655}"/>
    <cellStyle name="Normal 4 2 4 2 3 5 2 3" xfId="13642" xr:uid="{BFED51B2-3518-48F5-AAC4-9258CFF27769}"/>
    <cellStyle name="Normal 4 2 4 2 3 5 3" xfId="6388" xr:uid="{00000000-0005-0000-0000-000066130000}"/>
    <cellStyle name="Normal 4 2 4 2 3 5 3 2" xfId="15714" xr:uid="{1D9322CE-CEDE-4675-A0D0-C8E207B29249}"/>
    <cellStyle name="Normal 4 2 4 2 3 5 4" xfId="11497" xr:uid="{6900DA43-994F-4F16-80B1-0FE9222288E2}"/>
    <cellStyle name="Normal 4 2 4 2 3 6" xfId="2518" xr:uid="{00000000-0005-0000-0000-000067130000}"/>
    <cellStyle name="Normal 4 2 4 2 3 6 2" xfId="6801" xr:uid="{00000000-0005-0000-0000-000068130000}"/>
    <cellStyle name="Normal 4 2 4 2 3 6 2 2" xfId="16127" xr:uid="{42E8D763-2A75-4FCA-B5E2-9E06E9F62780}"/>
    <cellStyle name="Normal 4 2 4 2 3 6 3" xfId="11910" xr:uid="{34F1CC22-968C-4C4C-98F0-FEC45AB86E07}"/>
    <cellStyle name="Normal 4 2 4 2 3 7" xfId="4736" xr:uid="{00000000-0005-0000-0000-000069130000}"/>
    <cellStyle name="Normal 4 2 4 2 3 7 2" xfId="14062" xr:uid="{6EFF4D6E-79DB-4C0A-8E19-0DA3EFE5D1BD}"/>
    <cellStyle name="Normal 4 2 4 2 3 8" xfId="9027" xr:uid="{DA430019-E492-48BB-ACD5-5BE853C50FBC}"/>
    <cellStyle name="Normal 4 2 4 2 3 9" xfId="9845" xr:uid="{31F5B983-C626-45F3-BFB9-3AB90F5A7B7B}"/>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117175C3-D1AC-4AB7-90EB-98BF7F660FAF}"/>
    <cellStyle name="Normal 4 2 4 2 4 2 3" xfId="12400" xr:uid="{4D1C2549-4095-45B9-BD4A-F9F706A8CFFE}"/>
    <cellStyle name="Normal 4 2 4 2 4 3" xfId="5146" xr:uid="{00000000-0005-0000-0000-00006D130000}"/>
    <cellStyle name="Normal 4 2 4 2 4 3 2" xfId="14472" xr:uid="{4229DF5F-A55E-4737-82FC-2EB11BA3E97F}"/>
    <cellStyle name="Normal 4 2 4 2 4 4" xfId="9245" xr:uid="{A0383DD8-843E-4601-922A-5CDD979D0589}"/>
    <cellStyle name="Normal 4 2 4 2 4 5" xfId="10255" xr:uid="{69D19D1C-64DC-43E3-A0A8-0F1546BD45E3}"/>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584D3091-B664-4389-A2FC-8F475F0C822C}"/>
    <cellStyle name="Normal 4 2 4 2 5 2 3" xfId="12813" xr:uid="{AF06D2DB-7210-4541-AA56-FA7B4CD1BEA7}"/>
    <cellStyle name="Normal 4 2 4 2 5 3" xfId="5559" xr:uid="{00000000-0005-0000-0000-000071130000}"/>
    <cellStyle name="Normal 4 2 4 2 5 3 2" xfId="14885" xr:uid="{C03446E9-09AF-42F9-B433-0AB294BA8587}"/>
    <cellStyle name="Normal 4 2 4 2 5 4" xfId="10668" xr:uid="{C5C5E6DC-1FAA-49A2-8F23-BE0D4CA744C9}"/>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3058AD53-C971-4CB0-BFDD-F8BF21020496}"/>
    <cellStyle name="Normal 4 2 4 2 6 2 3" xfId="13226" xr:uid="{CEC5DA90-0778-488F-8860-6B7DA84A7288}"/>
    <cellStyle name="Normal 4 2 4 2 6 3" xfId="5972" xr:uid="{00000000-0005-0000-0000-000075130000}"/>
    <cellStyle name="Normal 4 2 4 2 6 3 2" xfId="15298" xr:uid="{B7F38A69-504D-4A70-BBCE-4DC8BAA50C72}"/>
    <cellStyle name="Normal 4 2 4 2 6 4" xfId="11081" xr:uid="{9D7B5415-2643-40B4-A58B-D4040BC54FDE}"/>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90791DCD-5D01-4CC0-8768-B2E3AC6BC1AB}"/>
    <cellStyle name="Normal 4 2 4 2 7 2 3" xfId="13639" xr:uid="{BCF0BE04-AA22-4164-847E-3718FEA289FF}"/>
    <cellStyle name="Normal 4 2 4 2 7 3" xfId="6385" xr:uid="{00000000-0005-0000-0000-000079130000}"/>
    <cellStyle name="Normal 4 2 4 2 7 3 2" xfId="15711" xr:uid="{4AF11AF4-310F-4CB8-A793-96774617D67A}"/>
    <cellStyle name="Normal 4 2 4 2 7 4" xfId="11494" xr:uid="{F1AB5D26-036D-40B2-8B9A-2BD71BF5E016}"/>
    <cellStyle name="Normal 4 2 4 2 8" xfId="2515" xr:uid="{00000000-0005-0000-0000-00007A130000}"/>
    <cellStyle name="Normal 4 2 4 2 8 2" xfId="6798" xr:uid="{00000000-0005-0000-0000-00007B130000}"/>
    <cellStyle name="Normal 4 2 4 2 8 2 2" xfId="16124" xr:uid="{54054BA5-0DB1-40C4-9D4C-85368764EC7E}"/>
    <cellStyle name="Normal 4 2 4 2 8 3" xfId="11907" xr:uid="{5A4F60AB-BD91-4732-8F0D-ABFE704EC967}"/>
    <cellStyle name="Normal 4 2 4 2 9" xfId="4733" xr:uid="{00000000-0005-0000-0000-00007C130000}"/>
    <cellStyle name="Normal 4 2 4 2 9 2" xfId="14059" xr:uid="{23C1C263-245B-4158-A2FF-B27B340A2BCC}"/>
    <cellStyle name="Normal 4 2 4 3" xfId="360" xr:uid="{00000000-0005-0000-0000-00007D130000}"/>
    <cellStyle name="Normal 4 2 4 3 10" xfId="9846" xr:uid="{4A8482C5-ECD1-4E0E-B3E6-2D785DCA8A26}"/>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21F73AFF-5B1E-4516-A234-D85CEF530EA4}"/>
    <cellStyle name="Normal 4 2 4 3 2 2 2 3" xfId="12405" xr:uid="{7E6E55E4-306B-4053-BD11-EE49A5071E84}"/>
    <cellStyle name="Normal 4 2 4 3 2 2 3" xfId="5151" xr:uid="{00000000-0005-0000-0000-000082130000}"/>
    <cellStyle name="Normal 4 2 4 3 2 2 3 2" xfId="14477" xr:uid="{BB295501-FF75-4D66-B9C3-4DA1D56C07C9}"/>
    <cellStyle name="Normal 4 2 4 3 2 2 4" xfId="9510" xr:uid="{AA534F18-B7F5-44D9-AE7D-03E6DE45E4F9}"/>
    <cellStyle name="Normal 4 2 4 3 2 2 5" xfId="10260" xr:uid="{380D9E2C-BE6A-485A-BE1B-55CB38B52CED}"/>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E2528C59-A8A5-4D98-BCE8-4B1BEE34429B}"/>
    <cellStyle name="Normal 4 2 4 3 2 3 2 3" xfId="12818" xr:uid="{22E90F59-332D-4020-A254-3179B8EC763E}"/>
    <cellStyle name="Normal 4 2 4 3 2 3 3" xfId="5564" xr:uid="{00000000-0005-0000-0000-000086130000}"/>
    <cellStyle name="Normal 4 2 4 3 2 3 3 2" xfId="14890" xr:uid="{81FB076B-9AFB-4A94-B808-A5BA62FE3960}"/>
    <cellStyle name="Normal 4 2 4 3 2 3 4" xfId="10673" xr:uid="{6366DEBC-7A62-4420-B7C3-1B56B4DBF83C}"/>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3387984D-4E0F-42C1-802B-F25663F431FA}"/>
    <cellStyle name="Normal 4 2 4 3 2 4 2 3" xfId="13231" xr:uid="{A10C8EC5-1B40-481A-92C1-05E9861A9D7F}"/>
    <cellStyle name="Normal 4 2 4 3 2 4 3" xfId="5977" xr:uid="{00000000-0005-0000-0000-00008A130000}"/>
    <cellStyle name="Normal 4 2 4 3 2 4 3 2" xfId="15303" xr:uid="{3F292C83-D83D-4944-B7A8-9200EEE1530B}"/>
    <cellStyle name="Normal 4 2 4 3 2 4 4" xfId="11086" xr:uid="{D6043147-B557-48BB-AE3C-97E107484A39}"/>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AC11573F-3F1A-413E-ADC2-278EC49ACC08}"/>
    <cellStyle name="Normal 4 2 4 3 2 5 2 3" xfId="13644" xr:uid="{8202EA28-9749-4536-90BF-7AEA54960A8F}"/>
    <cellStyle name="Normal 4 2 4 3 2 5 3" xfId="6390" xr:uid="{00000000-0005-0000-0000-00008E130000}"/>
    <cellStyle name="Normal 4 2 4 3 2 5 3 2" xfId="15716" xr:uid="{2E080895-B297-4BA7-8147-CC2ECCA08658}"/>
    <cellStyle name="Normal 4 2 4 3 2 5 4" xfId="11499" xr:uid="{78793E20-25D1-4194-BEFF-616C79E6FA43}"/>
    <cellStyle name="Normal 4 2 4 3 2 6" xfId="2520" xr:uid="{00000000-0005-0000-0000-00008F130000}"/>
    <cellStyle name="Normal 4 2 4 3 2 6 2" xfId="6803" xr:uid="{00000000-0005-0000-0000-000090130000}"/>
    <cellStyle name="Normal 4 2 4 3 2 6 2 2" xfId="16129" xr:uid="{1D10AF97-78DC-4DA3-AE9F-AE192748A3DA}"/>
    <cellStyle name="Normal 4 2 4 3 2 6 3" xfId="11912" xr:uid="{7F61EEB9-8EA4-44C1-A867-8D3FDB093FC2}"/>
    <cellStyle name="Normal 4 2 4 3 2 7" xfId="4738" xr:uid="{00000000-0005-0000-0000-000091130000}"/>
    <cellStyle name="Normal 4 2 4 3 2 7 2" xfId="14064" xr:uid="{BE2066A0-76BB-438A-8BB8-3C83B94630B1}"/>
    <cellStyle name="Normal 4 2 4 3 2 8" xfId="9085" xr:uid="{0181E53C-86DC-4588-8447-D559FCF01541}"/>
    <cellStyle name="Normal 4 2 4 3 2 9" xfId="9847" xr:uid="{37068D52-31E8-48F6-86F1-2ADF713915F4}"/>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D3B4ED6E-A849-4207-A569-732BD1BE6E0D}"/>
    <cellStyle name="Normal 4 2 4 3 3 2 3" xfId="12404" xr:uid="{968921A1-FA8A-436D-85E2-83E1228972BA}"/>
    <cellStyle name="Normal 4 2 4 3 3 3" xfId="5150" xr:uid="{00000000-0005-0000-0000-000095130000}"/>
    <cellStyle name="Normal 4 2 4 3 3 3 2" xfId="14476" xr:uid="{0CE3A415-6485-44ED-816A-7FEA372E830A}"/>
    <cellStyle name="Normal 4 2 4 3 3 4" xfId="9303" xr:uid="{51CE977A-E9B9-47DD-B6CE-3ECF34A578F1}"/>
    <cellStyle name="Normal 4 2 4 3 3 5" xfId="10259" xr:uid="{BE9F3CDC-DEC6-4A01-ABF0-98144C495B1F}"/>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D1490B45-DBA3-45B0-94D3-05AA4D968B43}"/>
    <cellStyle name="Normal 4 2 4 3 4 2 3" xfId="12817" xr:uid="{CC21F21E-0E1F-4DD6-95D0-B4A8B98F33F5}"/>
    <cellStyle name="Normal 4 2 4 3 4 3" xfId="5563" xr:uid="{00000000-0005-0000-0000-000099130000}"/>
    <cellStyle name="Normal 4 2 4 3 4 3 2" xfId="14889" xr:uid="{000C29DB-FA79-46E5-B30E-CDE3BB14898F}"/>
    <cellStyle name="Normal 4 2 4 3 4 4" xfId="10672" xr:uid="{2CE8E547-C13F-458B-8450-0FC5C1756EB7}"/>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41BDC484-57D2-41A3-8BFA-F54DDFA1128D}"/>
    <cellStyle name="Normal 4 2 4 3 5 2 3" xfId="13230" xr:uid="{D217C76C-CA5A-4D3C-9673-D89499FC4BEE}"/>
    <cellStyle name="Normal 4 2 4 3 5 3" xfId="5976" xr:uid="{00000000-0005-0000-0000-00009D130000}"/>
    <cellStyle name="Normal 4 2 4 3 5 3 2" xfId="15302" xr:uid="{8998424D-4998-4AFC-A5D0-4DE021FC1FB2}"/>
    <cellStyle name="Normal 4 2 4 3 5 4" xfId="11085" xr:uid="{33C13DE6-C095-4F37-A43C-2506F6F7B008}"/>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E8EF0D6E-8FEB-4FE4-8009-426CD0A026FA}"/>
    <cellStyle name="Normal 4 2 4 3 6 2 3" xfId="13643" xr:uid="{E2C3DDDC-96B4-4991-8D45-D112B1FA314A}"/>
    <cellStyle name="Normal 4 2 4 3 6 3" xfId="6389" xr:uid="{00000000-0005-0000-0000-0000A1130000}"/>
    <cellStyle name="Normal 4 2 4 3 6 3 2" xfId="15715" xr:uid="{130CF869-FE10-4775-A851-99AF178658E1}"/>
    <cellStyle name="Normal 4 2 4 3 6 4" xfId="11498" xr:uid="{AE33680F-9173-4FC8-8F1B-D668B5D618BD}"/>
    <cellStyle name="Normal 4 2 4 3 7" xfId="2519" xr:uid="{00000000-0005-0000-0000-0000A2130000}"/>
    <cellStyle name="Normal 4 2 4 3 7 2" xfId="6802" xr:uid="{00000000-0005-0000-0000-0000A3130000}"/>
    <cellStyle name="Normal 4 2 4 3 7 2 2" xfId="16128" xr:uid="{2C308391-8B96-4134-8D94-21AAA7B12118}"/>
    <cellStyle name="Normal 4 2 4 3 7 3" xfId="11911" xr:uid="{5E4315C7-16F4-44AF-9B15-B24B7346178C}"/>
    <cellStyle name="Normal 4 2 4 3 8" xfId="4737" xr:uid="{00000000-0005-0000-0000-0000A4130000}"/>
    <cellStyle name="Normal 4 2 4 3 8 2" xfId="14063" xr:uid="{2D130C65-3E9C-41FA-A720-D8B95EBD0EAE}"/>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F5E14485-A209-465D-9982-120EAEF63739}"/>
    <cellStyle name="Normal 4 2 4 4 2 2 3" xfId="12406" xr:uid="{82768886-04B8-409B-B30B-0E23450928D1}"/>
    <cellStyle name="Normal 4 2 4 4 2 3" xfId="5152" xr:uid="{00000000-0005-0000-0000-0000A9130000}"/>
    <cellStyle name="Normal 4 2 4 4 2 3 2" xfId="14478" xr:uid="{CC63B7E5-F486-472F-ADFA-E2449F610B2A}"/>
    <cellStyle name="Normal 4 2 4 4 2 4" xfId="9407" xr:uid="{5D8D6A7A-388E-41EC-80E9-28307FA015D6}"/>
    <cellStyle name="Normal 4 2 4 4 2 5" xfId="10261" xr:uid="{B5793313-E250-495F-AD5A-66C13FB088D0}"/>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FFAE025A-B0E9-4ABE-8A02-468738217C57}"/>
    <cellStyle name="Normal 4 2 4 4 3 2 3" xfId="12819" xr:uid="{AFEB4A2F-8CC0-4903-8776-5ED86F0E1E38}"/>
    <cellStyle name="Normal 4 2 4 4 3 3" xfId="5565" xr:uid="{00000000-0005-0000-0000-0000AD130000}"/>
    <cellStyle name="Normal 4 2 4 4 3 3 2" xfId="14891" xr:uid="{BABBE480-21B2-4BD7-B8FB-575F312F663B}"/>
    <cellStyle name="Normal 4 2 4 4 3 4" xfId="10674" xr:uid="{94333509-D0E0-42B4-B328-D05C7A9F9B94}"/>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708483A4-0696-4794-9184-DDFF834D7A5D}"/>
    <cellStyle name="Normal 4 2 4 4 4 2 3" xfId="13232" xr:uid="{5E51238D-9D86-4B4F-95F6-98207E4258BF}"/>
    <cellStyle name="Normal 4 2 4 4 4 3" xfId="5978" xr:uid="{00000000-0005-0000-0000-0000B1130000}"/>
    <cellStyle name="Normal 4 2 4 4 4 3 2" xfId="15304" xr:uid="{5923E792-11B5-494B-BF62-42388E61F5BC}"/>
    <cellStyle name="Normal 4 2 4 4 4 4" xfId="11087" xr:uid="{30F1139B-524F-44FB-AE90-9074F46E8A11}"/>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2F84B0FF-1768-4698-9900-2E025CF130BE}"/>
    <cellStyle name="Normal 4 2 4 4 5 2 3" xfId="13645" xr:uid="{D82FAF10-94DF-424A-AB90-FFA3289274CA}"/>
    <cellStyle name="Normal 4 2 4 4 5 3" xfId="6391" xr:uid="{00000000-0005-0000-0000-0000B5130000}"/>
    <cellStyle name="Normal 4 2 4 4 5 3 2" xfId="15717" xr:uid="{CD951C04-A5B7-4504-989C-5572BAC888D7}"/>
    <cellStyle name="Normal 4 2 4 4 5 4" xfId="11500" xr:uid="{14D6D7F5-E0B9-43E1-88D3-4143963FEE24}"/>
    <cellStyle name="Normal 4 2 4 4 6" xfId="2521" xr:uid="{00000000-0005-0000-0000-0000B6130000}"/>
    <cellStyle name="Normal 4 2 4 4 6 2" xfId="6804" xr:uid="{00000000-0005-0000-0000-0000B7130000}"/>
    <cellStyle name="Normal 4 2 4 4 6 2 2" xfId="16130" xr:uid="{AF73241E-2C0D-4494-A6BD-ADE0AD867CAF}"/>
    <cellStyle name="Normal 4 2 4 4 6 3" xfId="11913" xr:uid="{25C8D5C8-B076-4BDA-8E18-C3753BF45BA7}"/>
    <cellStyle name="Normal 4 2 4 4 7" xfId="4739" xr:uid="{00000000-0005-0000-0000-0000B8130000}"/>
    <cellStyle name="Normal 4 2 4 4 7 2" xfId="14065" xr:uid="{D5475BF6-5E5A-416B-8ADC-CCFEC98BC235}"/>
    <cellStyle name="Normal 4 2 4 4 8" xfId="8982" xr:uid="{4C273C9B-E12E-4EF2-812F-666600229207}"/>
    <cellStyle name="Normal 4 2 4 4 9" xfId="9848" xr:uid="{D6D6033C-E4E4-4891-8034-C62226B17892}"/>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A0D3EF29-5513-4E88-BA00-CB9805D4043A}"/>
    <cellStyle name="Normal 4 2 4 5 2 3" xfId="12399" xr:uid="{D099B349-464F-4382-8E79-0DAAA81E1BE8}"/>
    <cellStyle name="Normal 4 2 4 5 3" xfId="5145" xr:uid="{00000000-0005-0000-0000-0000BC130000}"/>
    <cellStyle name="Normal 4 2 4 5 3 2" xfId="14471" xr:uid="{91C21912-188B-46A0-A1D3-2660184B7603}"/>
    <cellStyle name="Normal 4 2 4 5 4" xfId="9199" xr:uid="{1A9A2DC3-2FEA-4A30-A92C-84708E9B2741}"/>
    <cellStyle name="Normal 4 2 4 5 5" xfId="10254" xr:uid="{C32F0834-844D-4415-A6F9-52D728B6F047}"/>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5173BC8F-165D-4FF5-828F-3AED6FDC2E97}"/>
    <cellStyle name="Normal 4 2 4 6 2 3" xfId="12812" xr:uid="{4668FA2A-3C3E-4C51-BB7A-EDF7353A8688}"/>
    <cellStyle name="Normal 4 2 4 6 3" xfId="5558" xr:uid="{00000000-0005-0000-0000-0000C0130000}"/>
    <cellStyle name="Normal 4 2 4 6 3 2" xfId="14884" xr:uid="{6818B0FC-46F4-4B82-8FE7-678E7DE2BC8E}"/>
    <cellStyle name="Normal 4 2 4 6 4" xfId="10667" xr:uid="{BA092AE8-760A-4ACC-BEE1-643FB46D3935}"/>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DA42488B-B202-4934-925F-7B8A6AE39432}"/>
    <cellStyle name="Normal 4 2 4 7 2 3" xfId="13225" xr:uid="{C226AECC-81A0-4ABC-A4C1-8DDEB7297DD4}"/>
    <cellStyle name="Normal 4 2 4 7 3" xfId="5971" xr:uid="{00000000-0005-0000-0000-0000C4130000}"/>
    <cellStyle name="Normal 4 2 4 7 3 2" xfId="15297" xr:uid="{89A0D72C-B9EB-4DDE-BA18-13DEAB645D55}"/>
    <cellStyle name="Normal 4 2 4 7 4" xfId="11080" xr:uid="{9BCACAA9-8319-410E-8895-5FEC248173A2}"/>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401A18DB-E0E3-495D-89B5-E2B14CBFE074}"/>
    <cellStyle name="Normal 4 2 4 8 2 3" xfId="13638" xr:uid="{ED6581C6-D11B-4C14-AC38-946756FEF459}"/>
    <cellStyle name="Normal 4 2 4 8 3" xfId="6384" xr:uid="{00000000-0005-0000-0000-0000C8130000}"/>
    <cellStyle name="Normal 4 2 4 8 3 2" xfId="15710" xr:uid="{DE937967-3D2F-4C3F-AFC6-EB728B6BFB47}"/>
    <cellStyle name="Normal 4 2 4 8 4" xfId="11493" xr:uid="{28F2367A-00BE-4450-AA89-F2913AD2230A}"/>
    <cellStyle name="Normal 4 2 4 9" xfId="2514" xr:uid="{00000000-0005-0000-0000-0000C9130000}"/>
    <cellStyle name="Normal 4 2 4 9 2" xfId="6797" xr:uid="{00000000-0005-0000-0000-0000CA130000}"/>
    <cellStyle name="Normal 4 2 4 9 2 2" xfId="16123" xr:uid="{1C042B4C-BB5C-4C96-A653-A66CE79B63DC}"/>
    <cellStyle name="Normal 4 2 4 9 3" xfId="11906" xr:uid="{86386E9C-D12A-4D8C-A937-E561DF4D2A2F}"/>
    <cellStyle name="Normal 4 2 5" xfId="363" xr:uid="{00000000-0005-0000-0000-0000CB130000}"/>
    <cellStyle name="Normal 4 2 5 10" xfId="9849" xr:uid="{459A74DC-B74B-4AAC-8A4B-FEA74FBC9748}"/>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4CC62797-EE26-402F-AF20-D452EA4B5E9C}"/>
    <cellStyle name="Normal 4 2 5 2 2 2 3" xfId="12408" xr:uid="{5AC00408-0A1C-40F9-865C-B143EDD12232}"/>
    <cellStyle name="Normal 4 2 5 2 2 3" xfId="5154" xr:uid="{00000000-0005-0000-0000-0000D0130000}"/>
    <cellStyle name="Normal 4 2 5 2 2 3 2" xfId="14480" xr:uid="{BDD0DDDF-80D6-45C0-ACAB-57855D77EA0B}"/>
    <cellStyle name="Normal 4 2 5 2 2 4" xfId="9478" xr:uid="{9FEAEEC2-067D-4244-BB0F-0858128140EB}"/>
    <cellStyle name="Normal 4 2 5 2 2 5" xfId="10263" xr:uid="{4ABE1EEF-4643-4631-8B32-949311D96276}"/>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27542BB4-A1DD-4459-8440-6785C5D8C03C}"/>
    <cellStyle name="Normal 4 2 5 2 3 2 3" xfId="12821" xr:uid="{AEE32772-FCBF-44E9-AADD-3F01FDEEF76A}"/>
    <cellStyle name="Normal 4 2 5 2 3 3" xfId="5567" xr:uid="{00000000-0005-0000-0000-0000D4130000}"/>
    <cellStyle name="Normal 4 2 5 2 3 3 2" xfId="14893" xr:uid="{541435DD-1013-4A06-969B-79A30FEA00D2}"/>
    <cellStyle name="Normal 4 2 5 2 3 4" xfId="10676" xr:uid="{61B42AEB-C0D3-47BB-AC56-FD463CEDC88D}"/>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FCA2B093-052A-4060-BC27-2380298DA3B6}"/>
    <cellStyle name="Normal 4 2 5 2 4 2 3" xfId="13234" xr:uid="{BBC1A217-D024-4F05-9C70-D27EAA8A0E1B}"/>
    <cellStyle name="Normal 4 2 5 2 4 3" xfId="5980" xr:uid="{00000000-0005-0000-0000-0000D8130000}"/>
    <cellStyle name="Normal 4 2 5 2 4 3 2" xfId="15306" xr:uid="{52A12D5F-0A72-483A-A060-879E5E2F2D4A}"/>
    <cellStyle name="Normal 4 2 5 2 4 4" xfId="11089" xr:uid="{524B8BE1-E513-4A67-B7C4-24526623F080}"/>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1B753902-D1F0-4079-9400-85E89AC931A9}"/>
    <cellStyle name="Normal 4 2 5 2 5 2 3" xfId="13647" xr:uid="{955303E0-B4A3-43E2-B47B-ABEE2E143D94}"/>
    <cellStyle name="Normal 4 2 5 2 5 3" xfId="6393" xr:uid="{00000000-0005-0000-0000-0000DC130000}"/>
    <cellStyle name="Normal 4 2 5 2 5 3 2" xfId="15719" xr:uid="{1379FA5F-1534-4B82-8C6D-BD177D84F027}"/>
    <cellStyle name="Normal 4 2 5 2 5 4" xfId="11502" xr:uid="{6928702F-3DB8-4537-A09A-AF347F1D1D5B}"/>
    <cellStyle name="Normal 4 2 5 2 6" xfId="2523" xr:uid="{00000000-0005-0000-0000-0000DD130000}"/>
    <cellStyle name="Normal 4 2 5 2 6 2" xfId="6806" xr:uid="{00000000-0005-0000-0000-0000DE130000}"/>
    <cellStyle name="Normal 4 2 5 2 6 2 2" xfId="16132" xr:uid="{EDFFFAED-B4EE-4173-8912-737734511744}"/>
    <cellStyle name="Normal 4 2 5 2 6 3" xfId="11915" xr:uid="{B07458D5-09D7-4C43-9154-CB1F0A1D729B}"/>
    <cellStyle name="Normal 4 2 5 2 7" xfId="4741" xr:uid="{00000000-0005-0000-0000-0000DF130000}"/>
    <cellStyle name="Normal 4 2 5 2 7 2" xfId="14067" xr:uid="{AB76282A-58E9-46F7-84EE-B205FA565822}"/>
    <cellStyle name="Normal 4 2 5 2 8" xfId="9053" xr:uid="{0AE18A98-D9E6-47B9-86B0-DDAD3BC77B48}"/>
    <cellStyle name="Normal 4 2 5 2 9" xfId="9850" xr:uid="{71E6A12B-A907-4DBC-BF64-B2B4C685D131}"/>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23E67D4D-8156-43F9-910D-341F01537CD1}"/>
    <cellStyle name="Normal 4 2 5 3 2 3" xfId="12407" xr:uid="{E4C68094-7729-4B30-97F0-A963866F2E3D}"/>
    <cellStyle name="Normal 4 2 5 3 3" xfId="5153" xr:uid="{00000000-0005-0000-0000-0000E3130000}"/>
    <cellStyle name="Normal 4 2 5 3 3 2" xfId="14479" xr:uid="{AE93A09D-2615-4DB9-9D62-512A05D60727}"/>
    <cellStyle name="Normal 4 2 5 3 4" xfId="9271" xr:uid="{41AE7BB1-E3C7-48BD-B24F-55AE39E68BB6}"/>
    <cellStyle name="Normal 4 2 5 3 5" xfId="10262" xr:uid="{6DCF5F0B-8B0B-4B70-AB98-41612B6760EF}"/>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D682F952-0089-4E6B-8371-7AAAC7EF9E10}"/>
    <cellStyle name="Normal 4 2 5 4 2 3" xfId="12820" xr:uid="{9321C619-FC2A-4F26-B9FC-EB46217CC924}"/>
    <cellStyle name="Normal 4 2 5 4 3" xfId="5566" xr:uid="{00000000-0005-0000-0000-0000E7130000}"/>
    <cellStyle name="Normal 4 2 5 4 3 2" xfId="14892" xr:uid="{7095AED5-9D34-4C23-B6B4-96E7288FDB87}"/>
    <cellStyle name="Normal 4 2 5 4 4" xfId="10675" xr:uid="{890135A2-0F58-4815-91C5-387181C60DEA}"/>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2BEAA4EB-249E-4B7D-9356-5D107D032F1C}"/>
    <cellStyle name="Normal 4 2 5 5 2 3" xfId="13233" xr:uid="{946F5291-6687-481B-AE0A-900812F5936C}"/>
    <cellStyle name="Normal 4 2 5 5 3" xfId="5979" xr:uid="{00000000-0005-0000-0000-0000EB130000}"/>
    <cellStyle name="Normal 4 2 5 5 3 2" xfId="15305" xr:uid="{04694E59-7366-4904-A65C-496FC7285AAD}"/>
    <cellStyle name="Normal 4 2 5 5 4" xfId="11088" xr:uid="{0D9E7268-ED10-429C-88C0-FF47A13FDB9A}"/>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1DB89F87-A22A-448B-B1DC-3DC1FA2CBC53}"/>
    <cellStyle name="Normal 4 2 5 6 2 3" xfId="13646" xr:uid="{BA5F3D15-957E-4BE1-AE1D-F8B6BB16BE01}"/>
    <cellStyle name="Normal 4 2 5 6 3" xfId="6392" xr:uid="{00000000-0005-0000-0000-0000EF130000}"/>
    <cellStyle name="Normal 4 2 5 6 3 2" xfId="15718" xr:uid="{594C469D-3D82-442D-B9A2-6998F1EB500B}"/>
    <cellStyle name="Normal 4 2 5 6 4" xfId="11501" xr:uid="{7E2AB493-2A90-4299-AEB5-516A5C9B9CC7}"/>
    <cellStyle name="Normal 4 2 5 7" xfId="2522" xr:uid="{00000000-0005-0000-0000-0000F0130000}"/>
    <cellStyle name="Normal 4 2 5 7 2" xfId="6805" xr:uid="{00000000-0005-0000-0000-0000F1130000}"/>
    <cellStyle name="Normal 4 2 5 7 2 2" xfId="16131" xr:uid="{7016B906-2A57-42C1-85C6-C4A76E49EB3F}"/>
    <cellStyle name="Normal 4 2 5 7 3" xfId="11914" xr:uid="{BE585495-786B-4BED-95ED-A86ADCA7CB1E}"/>
    <cellStyle name="Normal 4 2 5 8" xfId="4740" xr:uid="{00000000-0005-0000-0000-0000F2130000}"/>
    <cellStyle name="Normal 4 2 5 8 2" xfId="14066" xr:uid="{C94C79A1-15B8-44A9-B53D-24536474DB9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745981B7-9EB3-4946-B7D8-C02A438A4539}"/>
    <cellStyle name="Normal 4 2 6 2 2 3" xfId="12409" xr:uid="{B263EA06-1A16-4F18-9F50-EA0C22FEF574}"/>
    <cellStyle name="Normal 4 2 6 2 3" xfId="5155" xr:uid="{00000000-0005-0000-0000-0000F7130000}"/>
    <cellStyle name="Normal 4 2 6 2 3 2" xfId="14481" xr:uid="{D97152FF-EF25-41C0-AB27-A8113EAC456C}"/>
    <cellStyle name="Normal 4 2 6 2 4" xfId="9387" xr:uid="{933EA8C7-37F7-4AF2-922A-47A5CB1A47BC}"/>
    <cellStyle name="Normal 4 2 6 2 5" xfId="10264" xr:uid="{DFF5C8DE-6471-4B9E-8FAE-207E8F8CC93D}"/>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1F018F87-15A2-440D-96C6-3F78B94FDF2F}"/>
    <cellStyle name="Normal 4 2 6 3 2 3" xfId="12822" xr:uid="{EFA35D4E-30B8-41FA-8203-3DEE66F17770}"/>
    <cellStyle name="Normal 4 2 6 3 3" xfId="5568" xr:uid="{00000000-0005-0000-0000-0000FB130000}"/>
    <cellStyle name="Normal 4 2 6 3 3 2" xfId="14894" xr:uid="{014247F8-041C-4683-808E-6007A846DE54}"/>
    <cellStyle name="Normal 4 2 6 3 4" xfId="10677" xr:uid="{D7E66BA1-BCF7-48C1-AFE6-C3CBDA886590}"/>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74CA25A7-05F9-4D92-9115-7F4F265F3011}"/>
    <cellStyle name="Normal 4 2 6 4 2 3" xfId="13235" xr:uid="{669B5F74-AB38-4CD3-9A8C-076FF331B089}"/>
    <cellStyle name="Normal 4 2 6 4 3" xfId="5981" xr:uid="{00000000-0005-0000-0000-0000FF130000}"/>
    <cellStyle name="Normal 4 2 6 4 3 2" xfId="15307" xr:uid="{ABD86512-E991-4BA0-9D86-6F06BBD7BBFD}"/>
    <cellStyle name="Normal 4 2 6 4 4" xfId="11090" xr:uid="{DFE61C95-40B3-4F87-B2DF-5ED5B924DBFE}"/>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D7932644-89CA-4783-8C8B-29B0A752EB14}"/>
    <cellStyle name="Normal 4 2 6 5 2 3" xfId="13648" xr:uid="{37612E9E-92D0-4D7A-872D-F8FA0C1BFD17}"/>
    <cellStyle name="Normal 4 2 6 5 3" xfId="6394" xr:uid="{00000000-0005-0000-0000-000003140000}"/>
    <cellStyle name="Normal 4 2 6 5 3 2" xfId="15720" xr:uid="{B2DF908E-2CC0-424C-B9B5-600063362B93}"/>
    <cellStyle name="Normal 4 2 6 5 4" xfId="11503" xr:uid="{F22F4C0F-C9D8-4C56-B20D-A740AB249B85}"/>
    <cellStyle name="Normal 4 2 6 6" xfId="2524" xr:uid="{00000000-0005-0000-0000-000004140000}"/>
    <cellStyle name="Normal 4 2 6 6 2" xfId="6807" xr:uid="{00000000-0005-0000-0000-000005140000}"/>
    <cellStyle name="Normal 4 2 6 6 2 2" xfId="16133" xr:uid="{429E13B2-F7FA-4D41-83CE-9F76ADC5DD4A}"/>
    <cellStyle name="Normal 4 2 6 6 3" xfId="11916" xr:uid="{47AC7FCA-C072-4727-8F12-527351341135}"/>
    <cellStyle name="Normal 4 2 6 7" xfId="4742" xr:uid="{00000000-0005-0000-0000-000006140000}"/>
    <cellStyle name="Normal 4 2 6 7 2" xfId="14068" xr:uid="{C186D5B7-9E1B-49E5-B0BD-BAD161BB3980}"/>
    <cellStyle name="Normal 4 2 6 8" xfId="8962" xr:uid="{1A1596D6-3914-4465-A638-E540359059D2}"/>
    <cellStyle name="Normal 4 2 6 9" xfId="9851" xr:uid="{AE5E2E53-7A2D-42CC-8537-5B99CEC5D072}"/>
    <cellStyle name="Normal 4 2 7" xfId="9165" xr:uid="{6363F967-7399-442D-B2CE-00085FF7F1E8}"/>
    <cellStyle name="Normal 4 2 8" xfId="8743" xr:uid="{E2B8331F-47F9-4829-99C7-E05840A106B9}"/>
    <cellStyle name="Normal 4 3" xfId="366" xr:uid="{00000000-0005-0000-0000-000007140000}"/>
    <cellStyle name="Normal 4 3 10" xfId="9852" xr:uid="{B5196C5F-A381-4A81-86E2-51D9701D19A3}"/>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1" xfId="9853" xr:uid="{7561CBA0-EECE-4AFC-B578-B63385D1F65B}"/>
    <cellStyle name="Normal 4 3 2 2 2 2" xfId="370" xr:uid="{00000000-0005-0000-0000-00000B140000}"/>
    <cellStyle name="Normal 4 3 2 2 2 2 10" xfId="9854" xr:uid="{B8D7582D-933D-4F91-B3F4-7A25B66F8684}"/>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BEB2BCDD-10FD-4B13-8AA2-FFC5EDCDDE42}"/>
    <cellStyle name="Normal 4 3 2 2 2 2 2 2 2 3" xfId="12413" xr:uid="{09EAF9B3-959B-4A89-A935-FDA749F58BF7}"/>
    <cellStyle name="Normal 4 3 2 2 2 2 2 2 3" xfId="5159" xr:uid="{00000000-0005-0000-0000-000010140000}"/>
    <cellStyle name="Normal 4 3 2 2 2 2 2 2 3 2" xfId="14485" xr:uid="{A75D3E63-F104-4092-8B66-F6716FEA1F57}"/>
    <cellStyle name="Normal 4 3 2 2 2 2 2 2 4" xfId="9557" xr:uid="{4F6BDD99-7BF1-4D2F-9EDC-4F75F1942DB4}"/>
    <cellStyle name="Normal 4 3 2 2 2 2 2 2 5" xfId="10268" xr:uid="{9A655FBD-10E5-4A58-906A-878AD48B7165}"/>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A14E8B4D-4092-431D-B781-AC4C02D85176}"/>
    <cellStyle name="Normal 4 3 2 2 2 2 2 3 2 3" xfId="12826" xr:uid="{4A0111FF-3804-4765-A2BA-B1AC4B4F1899}"/>
    <cellStyle name="Normal 4 3 2 2 2 2 2 3 3" xfId="5572" xr:uid="{00000000-0005-0000-0000-000014140000}"/>
    <cellStyle name="Normal 4 3 2 2 2 2 2 3 3 2" xfId="14898" xr:uid="{6F876A35-2744-4A25-93DA-6F165AB0A6AB}"/>
    <cellStyle name="Normal 4 3 2 2 2 2 2 3 4" xfId="10681" xr:uid="{AD6BC964-66D5-42B5-A4E4-53822B2A44E6}"/>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B73F0DEA-88CD-4A81-A755-DA9AB3C502D5}"/>
    <cellStyle name="Normal 4 3 2 2 2 2 2 4 2 3" xfId="13239" xr:uid="{0AA69270-B420-41D0-9E89-1639695A6254}"/>
    <cellStyle name="Normal 4 3 2 2 2 2 2 4 3" xfId="5985" xr:uid="{00000000-0005-0000-0000-000018140000}"/>
    <cellStyle name="Normal 4 3 2 2 2 2 2 4 3 2" xfId="15311" xr:uid="{76B053CB-5379-45F0-BE61-F4C083D48080}"/>
    <cellStyle name="Normal 4 3 2 2 2 2 2 4 4" xfId="11094" xr:uid="{966A0D4C-6F0B-4B48-83DC-FF42482820E7}"/>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F55C4E92-7870-47DA-BA71-4C7C61A2A8A8}"/>
    <cellStyle name="Normal 4 3 2 2 2 2 2 5 2 3" xfId="13652" xr:uid="{91AE7F2A-569F-41DE-AA4F-7CE059D719CE}"/>
    <cellStyle name="Normal 4 3 2 2 2 2 2 5 3" xfId="6398" xr:uid="{00000000-0005-0000-0000-00001C140000}"/>
    <cellStyle name="Normal 4 3 2 2 2 2 2 5 3 2" xfId="15724" xr:uid="{F5606854-AE78-48A6-B90B-D1A4EDBDEC2F}"/>
    <cellStyle name="Normal 4 3 2 2 2 2 2 5 4" xfId="11507" xr:uid="{5B8F2279-F949-47E0-A59F-A63AF16FA1EC}"/>
    <cellStyle name="Normal 4 3 2 2 2 2 2 6" xfId="2528" xr:uid="{00000000-0005-0000-0000-00001D140000}"/>
    <cellStyle name="Normal 4 3 2 2 2 2 2 6 2" xfId="6811" xr:uid="{00000000-0005-0000-0000-00001E140000}"/>
    <cellStyle name="Normal 4 3 2 2 2 2 2 6 2 2" xfId="16137" xr:uid="{981066D6-DB44-47FF-A866-1B92AF1454DF}"/>
    <cellStyle name="Normal 4 3 2 2 2 2 2 6 3" xfId="11920" xr:uid="{493EB9D4-FF25-42D6-9197-53B575702909}"/>
    <cellStyle name="Normal 4 3 2 2 2 2 2 7" xfId="4746" xr:uid="{00000000-0005-0000-0000-00001F140000}"/>
    <cellStyle name="Normal 4 3 2 2 2 2 2 7 2" xfId="14072" xr:uid="{3E9E23B2-987B-4472-AA25-0C0DB0BB0D43}"/>
    <cellStyle name="Normal 4 3 2 2 2 2 2 8" xfId="9132" xr:uid="{14F6ED12-EABF-4C82-AD59-55D351026913}"/>
    <cellStyle name="Normal 4 3 2 2 2 2 2 9" xfId="9855" xr:uid="{8D284C1B-F7D6-4BAF-9697-BA1523779AA6}"/>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84DED03F-4E6C-4CD2-BCCF-9B3AD58044E0}"/>
    <cellStyle name="Normal 4 3 2 2 2 2 3 2 3" xfId="12412" xr:uid="{1B99544F-B385-461B-A8A2-5AE964B760B1}"/>
    <cellStyle name="Normal 4 3 2 2 2 2 3 3" xfId="5158" xr:uid="{00000000-0005-0000-0000-000023140000}"/>
    <cellStyle name="Normal 4 3 2 2 2 2 3 3 2" xfId="14484" xr:uid="{97255421-FD95-41D0-AF27-2059B364B9F9}"/>
    <cellStyle name="Normal 4 3 2 2 2 2 3 4" xfId="9350" xr:uid="{DFFEAFB7-A284-4FD9-B115-C19DA011CCC7}"/>
    <cellStyle name="Normal 4 3 2 2 2 2 3 5" xfId="10267" xr:uid="{4584476F-4537-4B56-9A33-B3B69B755029}"/>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EB10C4CB-FC52-47CC-8575-87BAAA38EC24}"/>
    <cellStyle name="Normal 4 3 2 2 2 2 4 2 3" xfId="12825" xr:uid="{EAC7696A-60D6-4B76-99F2-DEA74A30D5B6}"/>
    <cellStyle name="Normal 4 3 2 2 2 2 4 3" xfId="5571" xr:uid="{00000000-0005-0000-0000-000027140000}"/>
    <cellStyle name="Normal 4 3 2 2 2 2 4 3 2" xfId="14897" xr:uid="{8817C42E-1D0B-4ECF-8E83-42B3B9CA130E}"/>
    <cellStyle name="Normal 4 3 2 2 2 2 4 4" xfId="10680" xr:uid="{9893B899-9EB2-4F74-84F4-4ECE189597D2}"/>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67AFE2AE-FA93-469F-91F5-C513F5505A45}"/>
    <cellStyle name="Normal 4 3 2 2 2 2 5 2 3" xfId="13238" xr:uid="{6E8B77F6-5C4F-4566-936E-B28E12E4DFF3}"/>
    <cellStyle name="Normal 4 3 2 2 2 2 5 3" xfId="5984" xr:uid="{00000000-0005-0000-0000-00002B140000}"/>
    <cellStyle name="Normal 4 3 2 2 2 2 5 3 2" xfId="15310" xr:uid="{FF91A62C-5BF9-4B95-815F-22314CBA45BD}"/>
    <cellStyle name="Normal 4 3 2 2 2 2 5 4" xfId="11093" xr:uid="{74352158-93E6-47CA-8CF3-026B2BD0DA69}"/>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5788169B-B15D-492C-A459-C3D3D416D965}"/>
    <cellStyle name="Normal 4 3 2 2 2 2 6 2 3" xfId="13651" xr:uid="{9F1AA0BD-FF23-43C9-9C09-0C95F39D35C0}"/>
    <cellStyle name="Normal 4 3 2 2 2 2 6 3" xfId="6397" xr:uid="{00000000-0005-0000-0000-00002F140000}"/>
    <cellStyle name="Normal 4 3 2 2 2 2 6 3 2" xfId="15723" xr:uid="{16B3FAE0-424E-41B5-8F61-B0FA91D1124B}"/>
    <cellStyle name="Normal 4 3 2 2 2 2 6 4" xfId="11506" xr:uid="{5C0928D5-1A88-49EA-AE17-12B57582DA55}"/>
    <cellStyle name="Normal 4 3 2 2 2 2 7" xfId="2527" xr:uid="{00000000-0005-0000-0000-000030140000}"/>
    <cellStyle name="Normal 4 3 2 2 2 2 7 2" xfId="6810" xr:uid="{00000000-0005-0000-0000-000031140000}"/>
    <cellStyle name="Normal 4 3 2 2 2 2 7 2 2" xfId="16136" xr:uid="{E1531C6B-C6F5-4E98-9FA4-B6686D9AAE77}"/>
    <cellStyle name="Normal 4 3 2 2 2 2 7 3" xfId="11919" xr:uid="{698740CC-E598-415B-A631-A471D5130B47}"/>
    <cellStyle name="Normal 4 3 2 2 2 2 8" xfId="4745" xr:uid="{00000000-0005-0000-0000-000032140000}"/>
    <cellStyle name="Normal 4 3 2 2 2 2 8 2" xfId="14071" xr:uid="{8B5B5F80-D48C-4BAC-90A3-4CB967369D82}"/>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CF81EB86-4683-40AD-B9CF-67842FDCCC2E}"/>
    <cellStyle name="Normal 4 3 2 2 2 3 2 2 3" xfId="12414" xr:uid="{61DFA907-82B5-4B32-A014-5AC40DED5C71}"/>
    <cellStyle name="Normal 4 3 2 2 2 3 2 3" xfId="5160" xr:uid="{00000000-0005-0000-0000-000037140000}"/>
    <cellStyle name="Normal 4 3 2 2 2 3 2 3 2" xfId="14486" xr:uid="{1CABF083-4DC7-4AA6-812C-B6BE8BCFFC12}"/>
    <cellStyle name="Normal 4 3 2 2 2 3 2 4" xfId="9454" xr:uid="{B81F5EAA-7D8E-43B5-94D7-313E66088BA5}"/>
    <cellStyle name="Normal 4 3 2 2 2 3 2 5" xfId="10269" xr:uid="{D0991278-FBDC-45BE-961C-441B79DF58C1}"/>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10ACA6DB-ED48-413F-BA87-279C8247D1D2}"/>
    <cellStyle name="Normal 4 3 2 2 2 3 3 2 3" xfId="12827" xr:uid="{6D270286-8F54-4CA7-B76E-A9F3956D394A}"/>
    <cellStyle name="Normal 4 3 2 2 2 3 3 3" xfId="5573" xr:uid="{00000000-0005-0000-0000-00003B140000}"/>
    <cellStyle name="Normal 4 3 2 2 2 3 3 3 2" xfId="14899" xr:uid="{A192873E-C900-4507-84EA-DC47F2FEA7A7}"/>
    <cellStyle name="Normal 4 3 2 2 2 3 3 4" xfId="10682" xr:uid="{A25F7BA5-2D13-449A-A378-BED4D7392FCC}"/>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D39F6984-67E4-4BB4-9C96-54CBF559D9A4}"/>
    <cellStyle name="Normal 4 3 2 2 2 3 4 2 3" xfId="13240" xr:uid="{EB9B36A7-FD2D-4198-A4B9-455AEECBE9E4}"/>
    <cellStyle name="Normal 4 3 2 2 2 3 4 3" xfId="5986" xr:uid="{00000000-0005-0000-0000-00003F140000}"/>
    <cellStyle name="Normal 4 3 2 2 2 3 4 3 2" xfId="15312" xr:uid="{FC682D76-36C3-4372-8C5C-6A1896587EFD}"/>
    <cellStyle name="Normal 4 3 2 2 2 3 4 4" xfId="11095" xr:uid="{D3102D8A-65E7-454F-AA3B-47919601B30D}"/>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E11C4DB0-1D79-4953-8E77-22CC8A70C37F}"/>
    <cellStyle name="Normal 4 3 2 2 2 3 5 2 3" xfId="13653" xr:uid="{C2EC8806-8912-44DE-96D1-1B52A048F8A6}"/>
    <cellStyle name="Normal 4 3 2 2 2 3 5 3" xfId="6399" xr:uid="{00000000-0005-0000-0000-000043140000}"/>
    <cellStyle name="Normal 4 3 2 2 2 3 5 3 2" xfId="15725" xr:uid="{F1D1438A-447B-4EC7-927D-08AE145E80C6}"/>
    <cellStyle name="Normal 4 3 2 2 2 3 5 4" xfId="11508" xr:uid="{CB39C0CE-D09B-45A5-AF7A-FF577163390D}"/>
    <cellStyle name="Normal 4 3 2 2 2 3 6" xfId="2529" xr:uid="{00000000-0005-0000-0000-000044140000}"/>
    <cellStyle name="Normal 4 3 2 2 2 3 6 2" xfId="6812" xr:uid="{00000000-0005-0000-0000-000045140000}"/>
    <cellStyle name="Normal 4 3 2 2 2 3 6 2 2" xfId="16138" xr:uid="{D0E53E7E-18CD-41B2-B694-278AC76C2FD9}"/>
    <cellStyle name="Normal 4 3 2 2 2 3 6 3" xfId="11921" xr:uid="{E6F67CF2-6A81-4E72-ACFA-82A08CCE434A}"/>
    <cellStyle name="Normal 4 3 2 2 2 3 7" xfId="4747" xr:uid="{00000000-0005-0000-0000-000046140000}"/>
    <cellStyle name="Normal 4 3 2 2 2 3 7 2" xfId="14073" xr:uid="{D52DE3F0-FD0E-4E83-9DF5-C2E36AE079D5}"/>
    <cellStyle name="Normal 4 3 2 2 2 3 8" xfId="9029" xr:uid="{CC421D7E-69EF-4D96-A95C-E67F046F8D14}"/>
    <cellStyle name="Normal 4 3 2 2 2 3 9" xfId="9856" xr:uid="{7AAE03F4-A47D-4341-98CF-D7D2FF05B8F3}"/>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7DAC8CAF-9AD1-4AC4-81B0-EC0852CFA0ED}"/>
    <cellStyle name="Normal 4 3 2 2 2 4 2 3" xfId="12411" xr:uid="{10E8C122-1137-4191-BA7F-32B54263A971}"/>
    <cellStyle name="Normal 4 3 2 2 2 4 3" xfId="5157" xr:uid="{00000000-0005-0000-0000-00004A140000}"/>
    <cellStyle name="Normal 4 3 2 2 2 4 3 2" xfId="14483" xr:uid="{DE9B2FB9-CCD2-4910-A672-88F0ECAB6133}"/>
    <cellStyle name="Normal 4 3 2 2 2 4 4" xfId="9247" xr:uid="{70D9D224-DB0B-42B4-B4A9-BC88F455C395}"/>
    <cellStyle name="Normal 4 3 2 2 2 4 5" xfId="10266" xr:uid="{A34432E2-FC56-4653-A964-87875454E402}"/>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986407A9-EE5B-4733-8678-749CBCB01A47}"/>
    <cellStyle name="Normal 4 3 2 2 2 5 2 3" xfId="12824" xr:uid="{D8ED6A0A-AA2A-4F0B-B3AE-8D72F4A0823B}"/>
    <cellStyle name="Normal 4 3 2 2 2 5 3" xfId="5570" xr:uid="{00000000-0005-0000-0000-00004E140000}"/>
    <cellStyle name="Normal 4 3 2 2 2 5 3 2" xfId="14896" xr:uid="{CAB6BCC8-3AC4-4EF1-B8DA-53CA092B12A4}"/>
    <cellStyle name="Normal 4 3 2 2 2 5 4" xfId="10679" xr:uid="{8C0FB251-39C7-44D6-A05A-8AE3906EF238}"/>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DACDCCB5-4189-49BC-935D-A98798FEB40E}"/>
    <cellStyle name="Normal 4 3 2 2 2 6 2 3" xfId="13237" xr:uid="{1A34D837-FDE6-4C0F-BDFA-DB90FF7542A1}"/>
    <cellStyle name="Normal 4 3 2 2 2 6 3" xfId="5983" xr:uid="{00000000-0005-0000-0000-000052140000}"/>
    <cellStyle name="Normal 4 3 2 2 2 6 3 2" xfId="15309" xr:uid="{F8182862-1310-47C8-A575-1E48ACF4B278}"/>
    <cellStyle name="Normal 4 3 2 2 2 6 4" xfId="11092" xr:uid="{FDCA98E4-CC69-4B2B-96C7-1BFE54B690F8}"/>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E6DF01B1-15BA-4C6E-AA38-98E517B75F90}"/>
    <cellStyle name="Normal 4 3 2 2 2 7 2 3" xfId="13650" xr:uid="{DAA40C75-E8DB-4E1E-B67B-46A3D4A7F2E5}"/>
    <cellStyle name="Normal 4 3 2 2 2 7 3" xfId="6396" xr:uid="{00000000-0005-0000-0000-000056140000}"/>
    <cellStyle name="Normal 4 3 2 2 2 7 3 2" xfId="15722" xr:uid="{D720E786-8369-4852-A834-768C2B782E6A}"/>
    <cellStyle name="Normal 4 3 2 2 2 7 4" xfId="11505" xr:uid="{9E1CCF28-A853-4B62-9757-A03F90FEC989}"/>
    <cellStyle name="Normal 4 3 2 2 2 8" xfId="2526" xr:uid="{00000000-0005-0000-0000-000057140000}"/>
    <cellStyle name="Normal 4 3 2 2 2 8 2" xfId="6809" xr:uid="{00000000-0005-0000-0000-000058140000}"/>
    <cellStyle name="Normal 4 3 2 2 2 8 2 2" xfId="16135" xr:uid="{AE4A7BA9-B1B0-430C-A21F-EA233C638CE4}"/>
    <cellStyle name="Normal 4 3 2 2 2 8 3" xfId="11918" xr:uid="{1AC8A253-980A-4670-B73C-39CE966A99C9}"/>
    <cellStyle name="Normal 4 3 2 2 2 9" xfId="4744" xr:uid="{00000000-0005-0000-0000-000059140000}"/>
    <cellStyle name="Normal 4 3 2 2 2 9 2" xfId="14070" xr:uid="{965E550A-62F3-42A8-A8D8-FCC7E342AA7A}"/>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1" xfId="9857" xr:uid="{9802B910-F710-4C35-B539-2B4CF1088A5D}"/>
    <cellStyle name="Normal 4 3 3 2" xfId="375" xr:uid="{00000000-0005-0000-0000-00005E140000}"/>
    <cellStyle name="Normal 4 3 3 2 10" xfId="9858" xr:uid="{121F7039-8E88-4AC1-B727-A95D4C04140B}"/>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B33BCB88-0B47-4DF3-B6E6-B1788B87AED4}"/>
    <cellStyle name="Normal 4 3 3 2 2 2 2 3" xfId="12417" xr:uid="{05A12420-B080-4E74-BBAE-95DF0C8E9A1F}"/>
    <cellStyle name="Normal 4 3 3 2 2 2 3" xfId="5163" xr:uid="{00000000-0005-0000-0000-000063140000}"/>
    <cellStyle name="Normal 4 3 3 2 2 2 3 2" xfId="14489" xr:uid="{1E8825CF-E0E2-4611-A32E-72F516C8E3EC}"/>
    <cellStyle name="Normal 4 3 3 2 2 2 4" xfId="9556" xr:uid="{7233D5E9-9F1E-43FF-8391-DCCFDF8A705D}"/>
    <cellStyle name="Normal 4 3 3 2 2 2 5" xfId="10272" xr:uid="{4A057FA4-1BBE-44A4-88EF-C7320944CEC7}"/>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5148584B-B8F9-45D3-8F37-C3A3846BEB14}"/>
    <cellStyle name="Normal 4 3 3 2 2 3 2 3" xfId="12830" xr:uid="{2A8A2CEC-23FC-4749-8DFF-A81F66553B6E}"/>
    <cellStyle name="Normal 4 3 3 2 2 3 3" xfId="5576" xr:uid="{00000000-0005-0000-0000-000067140000}"/>
    <cellStyle name="Normal 4 3 3 2 2 3 3 2" xfId="14902" xr:uid="{61D6460A-21B2-4CC7-BBC5-9BAA6738F2B6}"/>
    <cellStyle name="Normal 4 3 3 2 2 3 4" xfId="10685" xr:uid="{DFEDA27B-7E96-46BE-B17C-B7CCEA1BD129}"/>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EF916E8A-7F7C-423C-B064-9ACC481BF039}"/>
    <cellStyle name="Normal 4 3 3 2 2 4 2 3" xfId="13243" xr:uid="{6F14DC05-79F3-4764-B5C7-4A70A26F89AF}"/>
    <cellStyle name="Normal 4 3 3 2 2 4 3" xfId="5989" xr:uid="{00000000-0005-0000-0000-00006B140000}"/>
    <cellStyle name="Normal 4 3 3 2 2 4 3 2" xfId="15315" xr:uid="{4D4788BE-4642-4035-AA96-EDA5490B72AB}"/>
    <cellStyle name="Normal 4 3 3 2 2 4 4" xfId="11098" xr:uid="{D9AF1BB1-8ECA-483F-BF08-625318E39DF3}"/>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5EE31DAC-58D2-4C2B-98AE-56606A233712}"/>
    <cellStyle name="Normal 4 3 3 2 2 5 2 3" xfId="13656" xr:uid="{53905519-E1B3-4E19-97A6-F5691575FC50}"/>
    <cellStyle name="Normal 4 3 3 2 2 5 3" xfId="6402" xr:uid="{00000000-0005-0000-0000-00006F140000}"/>
    <cellStyle name="Normal 4 3 3 2 2 5 3 2" xfId="15728" xr:uid="{73DA7BCE-FD44-468C-B798-E713B85B6C59}"/>
    <cellStyle name="Normal 4 3 3 2 2 5 4" xfId="11511" xr:uid="{917603C3-E3B1-4F64-B8FC-236E9D114697}"/>
    <cellStyle name="Normal 4 3 3 2 2 6" xfId="2532" xr:uid="{00000000-0005-0000-0000-000070140000}"/>
    <cellStyle name="Normal 4 3 3 2 2 6 2" xfId="6815" xr:uid="{00000000-0005-0000-0000-000071140000}"/>
    <cellStyle name="Normal 4 3 3 2 2 6 2 2" xfId="16141" xr:uid="{3FFCFEFF-476F-4F45-B02E-1DF87E372434}"/>
    <cellStyle name="Normal 4 3 3 2 2 6 3" xfId="11924" xr:uid="{FEE5D1F4-14EE-4F3B-82E0-D766EC379485}"/>
    <cellStyle name="Normal 4 3 3 2 2 7" xfId="4750" xr:uid="{00000000-0005-0000-0000-000072140000}"/>
    <cellStyle name="Normal 4 3 3 2 2 7 2" xfId="14076" xr:uid="{D4463A75-B58F-4F4B-98C4-F824D30F63F9}"/>
    <cellStyle name="Normal 4 3 3 2 2 8" xfId="9131" xr:uid="{D7BA3B10-6765-4B57-99D1-3AF7343772F8}"/>
    <cellStyle name="Normal 4 3 3 2 2 9" xfId="9859" xr:uid="{5D42AE45-AE8E-449E-94DF-0BC3E9E3D0B7}"/>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94E164BB-9A82-449C-865C-24F93EF8D0BC}"/>
    <cellStyle name="Normal 4 3 3 2 3 2 3" xfId="12416" xr:uid="{259FB203-9A52-4A54-8AE8-5DA27D4BD78C}"/>
    <cellStyle name="Normal 4 3 3 2 3 3" xfId="5162" xr:uid="{00000000-0005-0000-0000-000076140000}"/>
    <cellStyle name="Normal 4 3 3 2 3 3 2" xfId="14488" xr:uid="{7C9FB506-F932-467F-9D8F-78D12B857C3C}"/>
    <cellStyle name="Normal 4 3 3 2 3 4" xfId="9349" xr:uid="{E498700C-D7AE-42FC-8EB1-59BA2C1BA6B9}"/>
    <cellStyle name="Normal 4 3 3 2 3 5" xfId="10271" xr:uid="{10FAECFF-5BC7-42BA-889F-E0DED4DF79DA}"/>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2862F4D6-0530-48BF-AE46-6A99E33CFC0C}"/>
    <cellStyle name="Normal 4 3 3 2 4 2 3" xfId="12829" xr:uid="{438CF151-405E-45DF-8838-9A402954C58F}"/>
    <cellStyle name="Normal 4 3 3 2 4 3" xfId="5575" xr:uid="{00000000-0005-0000-0000-00007A140000}"/>
    <cellStyle name="Normal 4 3 3 2 4 3 2" xfId="14901" xr:uid="{1807EAD9-4FC2-4992-A5E8-87454C758D79}"/>
    <cellStyle name="Normal 4 3 3 2 4 4" xfId="10684" xr:uid="{DAD1939D-5718-4A6E-B329-D379ED6D56D3}"/>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744D0AE2-4C4B-417D-9785-B5A4B113B5AD}"/>
    <cellStyle name="Normal 4 3 3 2 5 2 3" xfId="13242" xr:uid="{E0A08F5B-14EE-48F1-9217-D74569AE6D5F}"/>
    <cellStyle name="Normal 4 3 3 2 5 3" xfId="5988" xr:uid="{00000000-0005-0000-0000-00007E140000}"/>
    <cellStyle name="Normal 4 3 3 2 5 3 2" xfId="15314" xr:uid="{B2EDBCEA-B210-4848-9512-6F4900890A9F}"/>
    <cellStyle name="Normal 4 3 3 2 5 4" xfId="11097" xr:uid="{B6A02C54-4CDD-4AA9-AFB7-F97B747EF3A4}"/>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562A765B-5777-43F6-BD2B-E837FC56DA1E}"/>
    <cellStyle name="Normal 4 3 3 2 6 2 3" xfId="13655" xr:uid="{5B22AAFE-0F33-4915-86F1-608566A381E0}"/>
    <cellStyle name="Normal 4 3 3 2 6 3" xfId="6401" xr:uid="{00000000-0005-0000-0000-000082140000}"/>
    <cellStyle name="Normal 4 3 3 2 6 3 2" xfId="15727" xr:uid="{830747D6-8D79-42C8-83E6-4E2F069AC9EE}"/>
    <cellStyle name="Normal 4 3 3 2 6 4" xfId="11510" xr:uid="{175D2A37-3B2F-4F51-8B40-C27D81B11A33}"/>
    <cellStyle name="Normal 4 3 3 2 7" xfId="2531" xr:uid="{00000000-0005-0000-0000-000083140000}"/>
    <cellStyle name="Normal 4 3 3 2 7 2" xfId="6814" xr:uid="{00000000-0005-0000-0000-000084140000}"/>
    <cellStyle name="Normal 4 3 3 2 7 2 2" xfId="16140" xr:uid="{0583A3AC-AD09-4513-8A46-A955773C8658}"/>
    <cellStyle name="Normal 4 3 3 2 7 3" xfId="11923" xr:uid="{F483B9BA-8877-4297-A96A-104CF5000ABD}"/>
    <cellStyle name="Normal 4 3 3 2 8" xfId="4749" xr:uid="{00000000-0005-0000-0000-000085140000}"/>
    <cellStyle name="Normal 4 3 3 2 8 2" xfId="14075" xr:uid="{1EF601BB-A07C-476D-8306-29D3E3C082EA}"/>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1F412E45-691E-4625-B03E-35991778F467}"/>
    <cellStyle name="Normal 4 3 3 3 2 2 3" xfId="12418" xr:uid="{CD3D9571-EFAD-47B7-889B-2FD9D856362F}"/>
    <cellStyle name="Normal 4 3 3 3 2 3" xfId="5164" xr:uid="{00000000-0005-0000-0000-00008A140000}"/>
    <cellStyle name="Normal 4 3 3 3 2 3 2" xfId="14490" xr:uid="{BE6157A8-3D83-4260-80F2-845D9D0253F6}"/>
    <cellStyle name="Normal 4 3 3 3 2 4" xfId="9453" xr:uid="{18D68920-503C-42C1-A733-EBE17DC6D008}"/>
    <cellStyle name="Normal 4 3 3 3 2 5" xfId="10273" xr:uid="{002E1598-1A32-4EFD-B267-DDB2735935DE}"/>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A5E3A2F9-7D6A-4E5A-A1DF-32A926E27A11}"/>
    <cellStyle name="Normal 4 3 3 3 3 2 3" xfId="12831" xr:uid="{39D3F3CA-7AB9-405C-AE06-EA05F6525AA9}"/>
    <cellStyle name="Normal 4 3 3 3 3 3" xfId="5577" xr:uid="{00000000-0005-0000-0000-00008E140000}"/>
    <cellStyle name="Normal 4 3 3 3 3 3 2" xfId="14903" xr:uid="{8386DA8B-0246-4D51-A8AD-1036C00E5274}"/>
    <cellStyle name="Normal 4 3 3 3 3 4" xfId="10686" xr:uid="{0FD51187-E6A1-4934-8EB2-4B39069D4D73}"/>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AEB3D640-6EB3-4D39-BA1F-16D508ACC9D7}"/>
    <cellStyle name="Normal 4 3 3 3 4 2 3" xfId="13244" xr:uid="{E4F2883F-B497-412E-B6C4-67A06564E8D3}"/>
    <cellStyle name="Normal 4 3 3 3 4 3" xfId="5990" xr:uid="{00000000-0005-0000-0000-000092140000}"/>
    <cellStyle name="Normal 4 3 3 3 4 3 2" xfId="15316" xr:uid="{00DCB03C-4B64-4CF7-8241-BEA5F3E7AC44}"/>
    <cellStyle name="Normal 4 3 3 3 4 4" xfId="11099" xr:uid="{DF1DFF53-A730-4482-A8B8-907C639A3381}"/>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BF6AA34B-61FD-407B-B2E9-A7F5888A5147}"/>
    <cellStyle name="Normal 4 3 3 3 5 2 3" xfId="13657" xr:uid="{7C364D48-3B39-47B1-BF27-B995B0451E85}"/>
    <cellStyle name="Normal 4 3 3 3 5 3" xfId="6403" xr:uid="{00000000-0005-0000-0000-000096140000}"/>
    <cellStyle name="Normal 4 3 3 3 5 3 2" xfId="15729" xr:uid="{529008F8-6C0C-4428-8B00-CEA795D17BF5}"/>
    <cellStyle name="Normal 4 3 3 3 5 4" xfId="11512" xr:uid="{7FDF1168-59D5-4F64-80FD-9D1A13BE2527}"/>
    <cellStyle name="Normal 4 3 3 3 6" xfId="2533" xr:uid="{00000000-0005-0000-0000-000097140000}"/>
    <cellStyle name="Normal 4 3 3 3 6 2" xfId="6816" xr:uid="{00000000-0005-0000-0000-000098140000}"/>
    <cellStyle name="Normal 4 3 3 3 6 2 2" xfId="16142" xr:uid="{961DCF44-A353-4D94-8701-30E03D3C087D}"/>
    <cellStyle name="Normal 4 3 3 3 6 3" xfId="11925" xr:uid="{02DB217C-7198-4185-825C-44B771AA2195}"/>
    <cellStyle name="Normal 4 3 3 3 7" xfId="4751" xr:uid="{00000000-0005-0000-0000-000099140000}"/>
    <cellStyle name="Normal 4 3 3 3 7 2" xfId="14077" xr:uid="{716807BC-BD6C-497D-8969-C7089C514807}"/>
    <cellStyle name="Normal 4 3 3 3 8" xfId="9028" xr:uid="{A0BD85BE-0D8B-455E-B326-708B8FF8A8C8}"/>
    <cellStyle name="Normal 4 3 3 3 9" xfId="9860" xr:uid="{C6311D2D-28DE-485C-AC79-12070A6ECAAE}"/>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31DF96DB-3964-40C2-8F44-9063CE7EC6FC}"/>
    <cellStyle name="Normal 4 3 3 4 2 3" xfId="12415" xr:uid="{C8D078C7-AB7F-423E-A193-D97A593579D5}"/>
    <cellStyle name="Normal 4 3 3 4 3" xfId="5161" xr:uid="{00000000-0005-0000-0000-00009D140000}"/>
    <cellStyle name="Normal 4 3 3 4 3 2" xfId="14487" xr:uid="{6629135D-9AAE-4B30-8595-61E6EADF3685}"/>
    <cellStyle name="Normal 4 3 3 4 4" xfId="9246" xr:uid="{E1107DA9-8F13-4216-80A2-CEA1D2EF57FC}"/>
    <cellStyle name="Normal 4 3 3 4 5" xfId="10270" xr:uid="{37E5B7FA-D122-40FB-B9FF-8B332B974C01}"/>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776EA9DD-248F-44C1-A54D-354A81542897}"/>
    <cellStyle name="Normal 4 3 3 5 2 3" xfId="12828" xr:uid="{3371FE1C-6341-4E25-82A7-4C6F540027C2}"/>
    <cellStyle name="Normal 4 3 3 5 3" xfId="5574" xr:uid="{00000000-0005-0000-0000-0000A1140000}"/>
    <cellStyle name="Normal 4 3 3 5 3 2" xfId="14900" xr:uid="{9073240D-9960-4124-972C-600AFFA138AF}"/>
    <cellStyle name="Normal 4 3 3 5 4" xfId="10683" xr:uid="{FCECB965-A27A-4671-AF2B-E13668F1F649}"/>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57D00BA0-FE4A-4BB5-8F0E-75E3E4F28B42}"/>
    <cellStyle name="Normal 4 3 3 6 2 3" xfId="13241" xr:uid="{336DD983-4677-4B18-8FB7-021262D2CAFE}"/>
    <cellStyle name="Normal 4 3 3 6 3" xfId="5987" xr:uid="{00000000-0005-0000-0000-0000A5140000}"/>
    <cellStyle name="Normal 4 3 3 6 3 2" xfId="15313" xr:uid="{35BF2B1D-30E3-4CB5-A0A5-4D159BE5D7BA}"/>
    <cellStyle name="Normal 4 3 3 6 4" xfId="11096" xr:uid="{8AC9EB2F-9D1F-425C-B166-16E5FF7321C0}"/>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115C6D64-6EC7-4019-ADCF-F2830FB41205}"/>
    <cellStyle name="Normal 4 3 3 7 2 3" xfId="13654" xr:uid="{26237186-5D5F-4A0D-9012-07420527C1ED}"/>
    <cellStyle name="Normal 4 3 3 7 3" xfId="6400" xr:uid="{00000000-0005-0000-0000-0000A9140000}"/>
    <cellStyle name="Normal 4 3 3 7 3 2" xfId="15726" xr:uid="{7F3BBC4F-597A-45FD-BE31-2F60E57F9B3C}"/>
    <cellStyle name="Normal 4 3 3 7 4" xfId="11509" xr:uid="{8AF90AB6-08A1-4CE9-B791-D4E79945B3FD}"/>
    <cellStyle name="Normal 4 3 3 8" xfId="2530" xr:uid="{00000000-0005-0000-0000-0000AA140000}"/>
    <cellStyle name="Normal 4 3 3 8 2" xfId="6813" xr:uid="{00000000-0005-0000-0000-0000AB140000}"/>
    <cellStyle name="Normal 4 3 3 8 2 2" xfId="16139" xr:uid="{FAF96831-DA22-4146-8684-8FB37C66D420}"/>
    <cellStyle name="Normal 4 3 3 8 3" xfId="11922" xr:uid="{A9115F63-2B6E-4955-A18C-A6F61C717B2F}"/>
    <cellStyle name="Normal 4 3 3 9" xfId="4748" xr:uid="{00000000-0005-0000-0000-0000AC140000}"/>
    <cellStyle name="Normal 4 3 3 9 2" xfId="14074" xr:uid="{C2D6676C-67DC-418E-A070-BE87537EBEE9}"/>
    <cellStyle name="Normal 4 3 4" xfId="842" xr:uid="{00000000-0005-0000-0000-0000AD140000}"/>
    <cellStyle name="Normal 4 3 4 2" xfId="3079" xr:uid="{00000000-0005-0000-0000-0000AE140000}"/>
    <cellStyle name="Normal 4 3 4 2 2" xfId="7301" xr:uid="{00000000-0005-0000-0000-0000AF140000}"/>
    <cellStyle name="Normal 4 3 4 2 2 2" xfId="16627" xr:uid="{371B966D-E43A-46E6-8144-DECFCF2C32F3}"/>
    <cellStyle name="Normal 4 3 4 2 3" xfId="12410" xr:uid="{7D1CED17-7BDF-4FE9-BDB5-4C3D80BD10E7}"/>
    <cellStyle name="Normal 4 3 4 3" xfId="5156" xr:uid="{00000000-0005-0000-0000-0000B0140000}"/>
    <cellStyle name="Normal 4 3 4 3 2" xfId="14482" xr:uid="{BD4A7A0C-725D-42E3-8362-45646EC478FA}"/>
    <cellStyle name="Normal 4 3 4 4" xfId="9608" xr:uid="{C2EFFD2B-01D5-4B2B-BD85-BB4245D6A35E}"/>
    <cellStyle name="Normal 4 3 4 5" xfId="10265" xr:uid="{54844229-E6C2-49A3-A759-F3E92863CA98}"/>
    <cellStyle name="Normal 4 3 5" xfId="1262" xr:uid="{00000000-0005-0000-0000-0000B1140000}"/>
    <cellStyle name="Normal 4 3 5 2" xfId="3492" xr:uid="{00000000-0005-0000-0000-0000B2140000}"/>
    <cellStyle name="Normal 4 3 5 2 2" xfId="7714" xr:uid="{00000000-0005-0000-0000-0000B3140000}"/>
    <cellStyle name="Normal 4 3 5 2 2 2" xfId="17040" xr:uid="{98F29DC6-9152-4AF1-8562-828D0AA4D5CF}"/>
    <cellStyle name="Normal 4 3 5 2 3" xfId="12823" xr:uid="{87D4703D-652A-4B02-842F-F75421DFCBBE}"/>
    <cellStyle name="Normal 4 3 5 3" xfId="5569" xr:uid="{00000000-0005-0000-0000-0000B4140000}"/>
    <cellStyle name="Normal 4 3 5 3 2" xfId="14895" xr:uid="{05DA7F41-AA23-43C9-8390-3A676AC439E2}"/>
    <cellStyle name="Normal 4 3 5 4" xfId="10678" xr:uid="{E84CE6BF-5EA6-4368-BDB9-D89193E08D2F}"/>
    <cellStyle name="Normal 4 3 6" xfId="1675" xr:uid="{00000000-0005-0000-0000-0000B5140000}"/>
    <cellStyle name="Normal 4 3 6 2" xfId="3905" xr:uid="{00000000-0005-0000-0000-0000B6140000}"/>
    <cellStyle name="Normal 4 3 6 2 2" xfId="8127" xr:uid="{00000000-0005-0000-0000-0000B7140000}"/>
    <cellStyle name="Normal 4 3 6 2 2 2" xfId="17453" xr:uid="{0A1D0A2F-5C1A-45EB-9882-72F982C61191}"/>
    <cellStyle name="Normal 4 3 6 2 3" xfId="13236" xr:uid="{6879D753-B071-44E9-BAF9-28AE191FF2BE}"/>
    <cellStyle name="Normal 4 3 6 3" xfId="5982" xr:uid="{00000000-0005-0000-0000-0000B8140000}"/>
    <cellStyle name="Normal 4 3 6 3 2" xfId="15308" xr:uid="{18EB69EC-0CD2-447A-8629-C4E00B019F97}"/>
    <cellStyle name="Normal 4 3 6 4" xfId="11091" xr:uid="{0A79EBC7-61AE-4DEB-A0AE-005465518F29}"/>
    <cellStyle name="Normal 4 3 7" xfId="2089" xr:uid="{00000000-0005-0000-0000-0000B9140000}"/>
    <cellStyle name="Normal 4 3 7 2" xfId="4318" xr:uid="{00000000-0005-0000-0000-0000BA140000}"/>
    <cellStyle name="Normal 4 3 7 2 2" xfId="8540" xr:uid="{00000000-0005-0000-0000-0000BB140000}"/>
    <cellStyle name="Normal 4 3 7 2 2 2" xfId="17866" xr:uid="{DB6BEEA2-F953-48C0-BD32-FCEE9EFF4523}"/>
    <cellStyle name="Normal 4 3 7 2 3" xfId="13649" xr:uid="{8CBEC5DA-8307-4767-8832-50E557FFE935}"/>
    <cellStyle name="Normal 4 3 7 3" xfId="6395" xr:uid="{00000000-0005-0000-0000-0000BC140000}"/>
    <cellStyle name="Normal 4 3 7 3 2" xfId="15721" xr:uid="{7C1223AB-F3E6-4057-BF42-32AB2A130679}"/>
    <cellStyle name="Normal 4 3 7 4" xfId="11504" xr:uid="{6865F8FE-8312-42D1-A060-576D41F206E6}"/>
    <cellStyle name="Normal 4 3 8" xfId="2525" xr:uid="{00000000-0005-0000-0000-0000BD140000}"/>
    <cellStyle name="Normal 4 3 8 2" xfId="6808" xr:uid="{00000000-0005-0000-0000-0000BE140000}"/>
    <cellStyle name="Normal 4 3 8 2 2" xfId="16134" xr:uid="{ED04A231-A626-4717-A5AC-C9088B5C5D54}"/>
    <cellStyle name="Normal 4 3 8 3" xfId="11917" xr:uid="{586F6B78-2C42-492D-A9E0-DE770A0C86A4}"/>
    <cellStyle name="Normal 4 3 9" xfId="4743" xr:uid="{00000000-0005-0000-0000-0000BF140000}"/>
    <cellStyle name="Normal 4 3 9 2" xfId="14069" xr:uid="{7A2A9964-AD07-4660-AA01-54CE4C60F5BA}"/>
    <cellStyle name="Normal 4 4" xfId="378" xr:uid="{00000000-0005-0000-0000-0000C0140000}"/>
    <cellStyle name="Normal 4 4 10" xfId="2534" xr:uid="{00000000-0005-0000-0000-0000C1140000}"/>
    <cellStyle name="Normal 4 4 10 2" xfId="6817" xr:uid="{00000000-0005-0000-0000-0000C2140000}"/>
    <cellStyle name="Normal 4 4 10 2 2" xfId="16143" xr:uid="{2AF7EFC2-36A9-486C-BFC1-38DC503A866B}"/>
    <cellStyle name="Normal 4 4 10 3" xfId="11926" xr:uid="{2ED01F58-6C2D-4813-9B9D-DE6F98A5C7ED}"/>
    <cellStyle name="Normal 4 4 11" xfId="4752" xr:uid="{00000000-0005-0000-0000-0000C3140000}"/>
    <cellStyle name="Normal 4 4 11 2" xfId="14078" xr:uid="{A85D63D9-BCA6-46D5-99B0-A2D82A166456}"/>
    <cellStyle name="Normal 4 4 12" xfId="8749" xr:uid="{A91736B6-873D-4B1A-8B29-18DC69E5E65F}"/>
    <cellStyle name="Normal 4 4 13" xfId="9861" xr:uid="{5A100A7C-AB2A-48F6-A099-6E585211BEDC}"/>
    <cellStyle name="Normal 4 4 2" xfId="379" xr:uid="{00000000-0005-0000-0000-0000C4140000}"/>
    <cellStyle name="Normal 4 4 2 10" xfId="4753" xr:uid="{00000000-0005-0000-0000-0000C5140000}"/>
    <cellStyle name="Normal 4 4 2 10 2" xfId="14079" xr:uid="{2B157FF6-1230-4865-A3D5-6A72BA1F271A}"/>
    <cellStyle name="Normal 4 4 2 11" xfId="8781" xr:uid="{12B8F0AD-1EB8-4D0A-9CAD-21DEEFEDAE41}"/>
    <cellStyle name="Normal 4 4 2 12" xfId="9862" xr:uid="{80A2D356-DAB9-48FE-84E8-8A06B47FD56C}"/>
    <cellStyle name="Normal 4 4 2 2" xfId="380" xr:uid="{00000000-0005-0000-0000-0000C6140000}"/>
    <cellStyle name="Normal 4 4 2 2 10" xfId="8824" xr:uid="{FF218EA8-00A9-476B-AA88-FBBBBED2D06B}"/>
    <cellStyle name="Normal 4 4 2 2 11" xfId="9863" xr:uid="{C91B013A-CEB2-43E8-90E8-18F1E4AF40D5}"/>
    <cellStyle name="Normal 4 4 2 2 2" xfId="381" xr:uid="{00000000-0005-0000-0000-0000C7140000}"/>
    <cellStyle name="Normal 4 4 2 2 2 10" xfId="9864" xr:uid="{C12503D9-B74D-4298-A6E4-9ADB37A7E446}"/>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5C1EF901-BA2B-44F6-8577-F2E239A35618}"/>
    <cellStyle name="Normal 4 4 2 2 2 2 2 2 3" xfId="12423" xr:uid="{F88F2A94-35F6-496D-BF3A-48A6CD892C69}"/>
    <cellStyle name="Normal 4 4 2 2 2 2 2 3" xfId="5169" xr:uid="{00000000-0005-0000-0000-0000CC140000}"/>
    <cellStyle name="Normal 4 4 2 2 2 2 2 3 2" xfId="14495" xr:uid="{1229C4E3-B4D9-460A-B24E-D01B1108D33D}"/>
    <cellStyle name="Normal 4 4 2 2 2 2 2 4" xfId="9559" xr:uid="{6E5E886C-D83F-47E6-AD2B-552CC2A98FD0}"/>
    <cellStyle name="Normal 4 4 2 2 2 2 2 5" xfId="10278" xr:uid="{C69FE42A-E233-4E66-9843-10920F0137EC}"/>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928E97CC-4F90-4A27-9C09-430DCEF38E95}"/>
    <cellStyle name="Normal 4 4 2 2 2 2 3 2 3" xfId="12836" xr:uid="{73A43CF8-43AF-46B3-A669-5E79E00336B1}"/>
    <cellStyle name="Normal 4 4 2 2 2 2 3 3" xfId="5582" xr:uid="{00000000-0005-0000-0000-0000D0140000}"/>
    <cellStyle name="Normal 4 4 2 2 2 2 3 3 2" xfId="14908" xr:uid="{846B1125-5D12-4155-A99F-165B5667335E}"/>
    <cellStyle name="Normal 4 4 2 2 2 2 3 4" xfId="10691" xr:uid="{263B80D7-9426-4712-ADAF-468D68E0D0B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7867DEBD-C9A6-4DF0-BBC2-A4DE93201936}"/>
    <cellStyle name="Normal 4 4 2 2 2 2 4 2 3" xfId="13249" xr:uid="{7ADDFC1C-BD09-43FA-832F-E6F030FAFC10}"/>
    <cellStyle name="Normal 4 4 2 2 2 2 4 3" xfId="5995" xr:uid="{00000000-0005-0000-0000-0000D4140000}"/>
    <cellStyle name="Normal 4 4 2 2 2 2 4 3 2" xfId="15321" xr:uid="{828A4197-CCA6-4624-9068-5155772D8C9F}"/>
    <cellStyle name="Normal 4 4 2 2 2 2 4 4" xfId="11104" xr:uid="{329E68C5-5512-487B-89B9-83AB53846E71}"/>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015B84EC-9C5C-4705-B548-3D8A93D81BCD}"/>
    <cellStyle name="Normal 4 4 2 2 2 2 5 2 3" xfId="13662" xr:uid="{E8BCA574-382E-420F-B618-6DD1165B2A7D}"/>
    <cellStyle name="Normal 4 4 2 2 2 2 5 3" xfId="6408" xr:uid="{00000000-0005-0000-0000-0000D8140000}"/>
    <cellStyle name="Normal 4 4 2 2 2 2 5 3 2" xfId="15734" xr:uid="{A4512107-26A1-4A64-A709-2CFA05DBFEDE}"/>
    <cellStyle name="Normal 4 4 2 2 2 2 5 4" xfId="11517" xr:uid="{B1505CC5-4384-4761-ADFA-48D45A5BE05F}"/>
    <cellStyle name="Normal 4 4 2 2 2 2 6" xfId="2538" xr:uid="{00000000-0005-0000-0000-0000D9140000}"/>
    <cellStyle name="Normal 4 4 2 2 2 2 6 2" xfId="6821" xr:uid="{00000000-0005-0000-0000-0000DA140000}"/>
    <cellStyle name="Normal 4 4 2 2 2 2 6 2 2" xfId="16147" xr:uid="{6A3BD3FD-7140-417D-A9A8-F2892DD448FE}"/>
    <cellStyle name="Normal 4 4 2 2 2 2 6 3" xfId="11930" xr:uid="{4EA581AF-229A-48BC-A9C3-D9F38E253E51}"/>
    <cellStyle name="Normal 4 4 2 2 2 2 7" xfId="4756" xr:uid="{00000000-0005-0000-0000-0000DB140000}"/>
    <cellStyle name="Normal 4 4 2 2 2 2 7 2" xfId="14082" xr:uid="{FA7C9860-A245-4C8B-AD91-E655C834C707}"/>
    <cellStyle name="Normal 4 4 2 2 2 2 8" xfId="9134" xr:uid="{B37D4C66-6754-4A5E-BFF7-77694E4355C2}"/>
    <cellStyle name="Normal 4 4 2 2 2 2 9" xfId="9865" xr:uid="{B73DE5FB-D3CE-4092-8A02-40AC6F6D9F83}"/>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844B7BE4-D5F0-489A-A636-CB0365D5ED28}"/>
    <cellStyle name="Normal 4 4 2 2 2 3 2 3" xfId="12422" xr:uid="{5374E0EA-FC0B-4665-B7BD-5CA2D9E7E0B3}"/>
    <cellStyle name="Normal 4 4 2 2 2 3 3" xfId="5168" xr:uid="{00000000-0005-0000-0000-0000DF140000}"/>
    <cellStyle name="Normal 4 4 2 2 2 3 3 2" xfId="14494" xr:uid="{A7FA5444-7DDB-4D72-BDE9-F4AD1768A6C8}"/>
    <cellStyle name="Normal 4 4 2 2 2 3 4" xfId="9352" xr:uid="{76F31DA2-44D0-447F-BA9C-6271BA6AAE96}"/>
    <cellStyle name="Normal 4 4 2 2 2 3 5" xfId="10277" xr:uid="{D937364F-2700-4AB0-B81F-0144E7B4476B}"/>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6182C92E-A51B-4923-AF54-D7227249431F}"/>
    <cellStyle name="Normal 4 4 2 2 2 4 2 3" xfId="12835" xr:uid="{C59263D1-A41D-4E64-A27E-DA566FFAED26}"/>
    <cellStyle name="Normal 4 4 2 2 2 4 3" xfId="5581" xr:uid="{00000000-0005-0000-0000-0000E3140000}"/>
    <cellStyle name="Normal 4 4 2 2 2 4 3 2" xfId="14907" xr:uid="{D24C4AEB-C5A5-4900-9197-1656148C3BF8}"/>
    <cellStyle name="Normal 4 4 2 2 2 4 4" xfId="10690" xr:uid="{BA966CE2-B0A5-43CF-9108-7906220B67FE}"/>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C51EC561-5C22-4E4E-B96A-4CA2FBCEE439}"/>
    <cellStyle name="Normal 4 4 2 2 2 5 2 3" xfId="13248" xr:uid="{7DE1F512-5918-44B6-A3ED-B0F906E88430}"/>
    <cellStyle name="Normal 4 4 2 2 2 5 3" xfId="5994" xr:uid="{00000000-0005-0000-0000-0000E7140000}"/>
    <cellStyle name="Normal 4 4 2 2 2 5 3 2" xfId="15320" xr:uid="{977317A9-68D3-4C53-9A5C-ED8ED10AABCA}"/>
    <cellStyle name="Normal 4 4 2 2 2 5 4" xfId="11103" xr:uid="{B2A6D4CD-E5CE-4813-A393-81CEA374004E}"/>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3C197F29-7E3F-489C-A3D7-E65FEC0CAF78}"/>
    <cellStyle name="Normal 4 4 2 2 2 6 2 3" xfId="13661" xr:uid="{4E029A1C-9A17-4DD3-BCFB-A6F979FBE97D}"/>
    <cellStyle name="Normal 4 4 2 2 2 6 3" xfId="6407" xr:uid="{00000000-0005-0000-0000-0000EB140000}"/>
    <cellStyle name="Normal 4 4 2 2 2 6 3 2" xfId="15733" xr:uid="{AFAF1BC4-D6B9-49E2-B137-8245AAE886C9}"/>
    <cellStyle name="Normal 4 4 2 2 2 6 4" xfId="11516" xr:uid="{6EB68AFD-FCC5-4C6C-A65D-BBDC53369C0E}"/>
    <cellStyle name="Normal 4 4 2 2 2 7" xfId="2537" xr:uid="{00000000-0005-0000-0000-0000EC140000}"/>
    <cellStyle name="Normal 4 4 2 2 2 7 2" xfId="6820" xr:uid="{00000000-0005-0000-0000-0000ED140000}"/>
    <cellStyle name="Normal 4 4 2 2 2 7 2 2" xfId="16146" xr:uid="{55A984AE-0DA7-46B0-AA0D-C412D71C57FC}"/>
    <cellStyle name="Normal 4 4 2 2 2 7 3" xfId="11929" xr:uid="{45E6695C-D25B-4E23-8BA9-110DE2D0D474}"/>
    <cellStyle name="Normal 4 4 2 2 2 8" xfId="4755" xr:uid="{00000000-0005-0000-0000-0000EE140000}"/>
    <cellStyle name="Normal 4 4 2 2 2 8 2" xfId="14081" xr:uid="{A8CFEAC8-AFC8-4BA5-93FF-8F4A5A02EA95}"/>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EE340EC9-10A0-4DFD-B972-0155ABFEED76}"/>
    <cellStyle name="Normal 4 4 2 2 3 2 2 3" xfId="12424" xr:uid="{2FB3A0D0-2830-44C0-9A5A-F5C1898EB018}"/>
    <cellStyle name="Normal 4 4 2 2 3 2 3" xfId="5170" xr:uid="{00000000-0005-0000-0000-0000F3140000}"/>
    <cellStyle name="Normal 4 4 2 2 3 2 3 2" xfId="14496" xr:uid="{ABEFABF8-8A58-458F-93A6-76F7073E5AD9}"/>
    <cellStyle name="Normal 4 4 2 2 3 2 4" xfId="9456" xr:uid="{7CB0B972-68D8-4A2C-A3A7-1D2BD109E44A}"/>
    <cellStyle name="Normal 4 4 2 2 3 2 5" xfId="10279" xr:uid="{2A002663-A542-42A8-B5EA-4BB3DB272073}"/>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606584E6-2AE2-45C3-8897-ADCEDB182351}"/>
    <cellStyle name="Normal 4 4 2 2 3 3 2 3" xfId="12837" xr:uid="{261ADAC4-5259-4BB3-A01D-664A800C82A8}"/>
    <cellStyle name="Normal 4 4 2 2 3 3 3" xfId="5583" xr:uid="{00000000-0005-0000-0000-0000F7140000}"/>
    <cellStyle name="Normal 4 4 2 2 3 3 3 2" xfId="14909" xr:uid="{21550710-8A7D-4986-A3F6-F0D8246B76B6}"/>
    <cellStyle name="Normal 4 4 2 2 3 3 4" xfId="10692" xr:uid="{CA0EF12B-83F6-459A-870B-6D57686A2125}"/>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4F3A12F4-28EB-415F-B260-87B5A361519A}"/>
    <cellStyle name="Normal 4 4 2 2 3 4 2 3" xfId="13250" xr:uid="{39ACA99C-0907-421C-B46F-6953B0AC8913}"/>
    <cellStyle name="Normal 4 4 2 2 3 4 3" xfId="5996" xr:uid="{00000000-0005-0000-0000-0000FB140000}"/>
    <cellStyle name="Normal 4 4 2 2 3 4 3 2" xfId="15322" xr:uid="{E1F855C6-9D40-4564-9599-206B004A2771}"/>
    <cellStyle name="Normal 4 4 2 2 3 4 4" xfId="11105" xr:uid="{121F0E9E-0D6E-4E85-9B7C-22C2AE8134E7}"/>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5E2303EE-32B5-4700-A473-F0729D7BA609}"/>
    <cellStyle name="Normal 4 4 2 2 3 5 2 3" xfId="13663" xr:uid="{C15500AC-A98E-4492-8F0E-6A67F492C130}"/>
    <cellStyle name="Normal 4 4 2 2 3 5 3" xfId="6409" xr:uid="{00000000-0005-0000-0000-0000FF140000}"/>
    <cellStyle name="Normal 4 4 2 2 3 5 3 2" xfId="15735" xr:uid="{AF63B6CF-6948-4F12-BFF6-B9DF85D6CEDB}"/>
    <cellStyle name="Normal 4 4 2 2 3 5 4" xfId="11518" xr:uid="{882FC7B6-62A6-4DBF-BE26-FCF3631C8DD7}"/>
    <cellStyle name="Normal 4 4 2 2 3 6" xfId="2539" xr:uid="{00000000-0005-0000-0000-000000150000}"/>
    <cellStyle name="Normal 4 4 2 2 3 6 2" xfId="6822" xr:uid="{00000000-0005-0000-0000-000001150000}"/>
    <cellStyle name="Normal 4 4 2 2 3 6 2 2" xfId="16148" xr:uid="{D9A79FA7-23C7-4F7D-8D79-1A9BC8E576FC}"/>
    <cellStyle name="Normal 4 4 2 2 3 6 3" xfId="11931" xr:uid="{F2B8168B-16E1-495F-AD77-CB2E7FE1A76F}"/>
    <cellStyle name="Normal 4 4 2 2 3 7" xfId="4757" xr:uid="{00000000-0005-0000-0000-000002150000}"/>
    <cellStyle name="Normal 4 4 2 2 3 7 2" xfId="14083" xr:uid="{ACBEFC6E-4360-4553-AF63-F7E6F89029D6}"/>
    <cellStyle name="Normal 4 4 2 2 3 8" xfId="9031" xr:uid="{F1B59444-328A-4279-8A0A-A9F7E26061D5}"/>
    <cellStyle name="Normal 4 4 2 2 3 9" xfId="9866" xr:uid="{322C96A3-EFDB-4A82-804E-C8163A00E22A}"/>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82781D3B-DE6C-4871-8495-01586A31AF7B}"/>
    <cellStyle name="Normal 4 4 2 2 4 2 3" xfId="12421" xr:uid="{89E17543-AA22-4E05-A28E-A9614650F6A4}"/>
    <cellStyle name="Normal 4 4 2 2 4 3" xfId="5167" xr:uid="{00000000-0005-0000-0000-000006150000}"/>
    <cellStyle name="Normal 4 4 2 2 4 3 2" xfId="14493" xr:uid="{044DDDEC-CDF7-44D4-BF98-4210950652D9}"/>
    <cellStyle name="Normal 4 4 2 2 4 4" xfId="9249" xr:uid="{7E4CA7C7-738D-4CFA-907A-40590344548A}"/>
    <cellStyle name="Normal 4 4 2 2 4 5" xfId="10276" xr:uid="{A27D179D-5357-4686-862A-B129A9F5996D}"/>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3B3AB245-D305-4DC1-9E49-6D7CC0E62747}"/>
    <cellStyle name="Normal 4 4 2 2 5 2 3" xfId="12834" xr:uid="{BB71A29A-78C9-4C7A-9EFB-6B29AAE6278A}"/>
    <cellStyle name="Normal 4 4 2 2 5 3" xfId="5580" xr:uid="{00000000-0005-0000-0000-00000A150000}"/>
    <cellStyle name="Normal 4 4 2 2 5 3 2" xfId="14906" xr:uid="{460C1790-876B-43BC-B41B-4DAA12667602}"/>
    <cellStyle name="Normal 4 4 2 2 5 4" xfId="10689" xr:uid="{BF9105E7-37CC-4BA9-B9A2-40E8C9B2E689}"/>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9BB5ACF4-70C1-4E6A-811C-D87B54FE7A5F}"/>
    <cellStyle name="Normal 4 4 2 2 6 2 3" xfId="13247" xr:uid="{DD83959D-D36B-4625-9517-52FEE005982B}"/>
    <cellStyle name="Normal 4 4 2 2 6 3" xfId="5993" xr:uid="{00000000-0005-0000-0000-00000E150000}"/>
    <cellStyle name="Normal 4 4 2 2 6 3 2" xfId="15319" xr:uid="{AF9B7265-D289-4F68-8A53-CEC0A61D58C6}"/>
    <cellStyle name="Normal 4 4 2 2 6 4" xfId="11102" xr:uid="{2A47C160-57BC-463A-B35C-00A8629D79D9}"/>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CD9BD8B9-F8AB-49BE-9AEC-5B33B5794C29}"/>
    <cellStyle name="Normal 4 4 2 2 7 2 3" xfId="13660" xr:uid="{9E0A7E5D-022F-4EC6-B544-DAAB0CC40E8D}"/>
    <cellStyle name="Normal 4 4 2 2 7 3" xfId="6406" xr:uid="{00000000-0005-0000-0000-000012150000}"/>
    <cellStyle name="Normal 4 4 2 2 7 3 2" xfId="15732" xr:uid="{9A0D9937-CCC7-42E8-BACD-9493291586AC}"/>
    <cellStyle name="Normal 4 4 2 2 7 4" xfId="11515" xr:uid="{DD4EDF19-F09A-471E-A2D8-FC985B182D74}"/>
    <cellStyle name="Normal 4 4 2 2 8" xfId="2536" xr:uid="{00000000-0005-0000-0000-000013150000}"/>
    <cellStyle name="Normal 4 4 2 2 8 2" xfId="6819" xr:uid="{00000000-0005-0000-0000-000014150000}"/>
    <cellStyle name="Normal 4 4 2 2 8 2 2" xfId="16145" xr:uid="{FCA55D20-B0D7-4B8A-A824-49793FDF7EC6}"/>
    <cellStyle name="Normal 4 4 2 2 8 3" xfId="11928" xr:uid="{3D89CD88-E48A-48C5-8C13-DD8A17E688A6}"/>
    <cellStyle name="Normal 4 4 2 2 9" xfId="4754" xr:uid="{00000000-0005-0000-0000-000015150000}"/>
    <cellStyle name="Normal 4 4 2 2 9 2" xfId="14080" xr:uid="{0CC2F236-429C-44D6-9506-36B582699791}"/>
    <cellStyle name="Normal 4 4 2 3" xfId="384" xr:uid="{00000000-0005-0000-0000-000016150000}"/>
    <cellStyle name="Normal 4 4 2 3 10" xfId="9867" xr:uid="{78E37A36-DDF0-4657-AD9E-3836603B4172}"/>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00539869-38E1-442B-B3D2-073A1F3CF9D3}"/>
    <cellStyle name="Normal 4 4 2 3 2 2 2 3" xfId="12426" xr:uid="{F463DA54-CC4A-4BE0-8E7B-900151E6BE6A}"/>
    <cellStyle name="Normal 4 4 2 3 2 2 3" xfId="5172" xr:uid="{00000000-0005-0000-0000-00001B150000}"/>
    <cellStyle name="Normal 4 4 2 3 2 2 3 2" xfId="14498" xr:uid="{7BD76A1D-7EC6-4D28-9D1F-2FD03E9EC64F}"/>
    <cellStyle name="Normal 4 4 2 3 2 2 4" xfId="9516" xr:uid="{93008D3B-5827-4778-B167-5B518B5BF56F}"/>
    <cellStyle name="Normal 4 4 2 3 2 2 5" xfId="10281" xr:uid="{9181A524-7E76-4E1A-A971-01CD23B9C219}"/>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CA2381B4-5710-44DF-9AE9-43392C58345D}"/>
    <cellStyle name="Normal 4 4 2 3 2 3 2 3" xfId="12839" xr:uid="{65ED93F1-071D-49B2-B08D-54580653A3F6}"/>
    <cellStyle name="Normal 4 4 2 3 2 3 3" xfId="5585" xr:uid="{00000000-0005-0000-0000-00001F150000}"/>
    <cellStyle name="Normal 4 4 2 3 2 3 3 2" xfId="14911" xr:uid="{23470930-3332-445F-8287-C0035580FE9A}"/>
    <cellStyle name="Normal 4 4 2 3 2 3 4" xfId="10694" xr:uid="{1F166256-1999-4789-A4C6-726A01B9EDB7}"/>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60CD1BDC-C75C-41F6-8E45-A2D44AD4091E}"/>
    <cellStyle name="Normal 4 4 2 3 2 4 2 3" xfId="13252" xr:uid="{05899F86-3F0B-4309-B77B-F1452DC4E296}"/>
    <cellStyle name="Normal 4 4 2 3 2 4 3" xfId="5998" xr:uid="{00000000-0005-0000-0000-000023150000}"/>
    <cellStyle name="Normal 4 4 2 3 2 4 3 2" xfId="15324" xr:uid="{DB554FBB-5EF6-4CF1-8C5F-59B25E27B556}"/>
    <cellStyle name="Normal 4 4 2 3 2 4 4" xfId="11107" xr:uid="{5F1AD50A-1E6A-41E5-B54E-24CF58280B93}"/>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4974FD46-A3C5-4986-8FB8-6B397006C371}"/>
    <cellStyle name="Normal 4 4 2 3 2 5 2 3" xfId="13665" xr:uid="{91DBD2BC-5F19-4CFC-9383-5CD440C22E96}"/>
    <cellStyle name="Normal 4 4 2 3 2 5 3" xfId="6411" xr:uid="{00000000-0005-0000-0000-000027150000}"/>
    <cellStyle name="Normal 4 4 2 3 2 5 3 2" xfId="15737" xr:uid="{29613979-3601-4113-9F4A-9D890449A6E5}"/>
    <cellStyle name="Normal 4 4 2 3 2 5 4" xfId="11520" xr:uid="{5111F290-A7AA-4AF2-9E0A-37E5EEA6AA8F}"/>
    <cellStyle name="Normal 4 4 2 3 2 6" xfId="2541" xr:uid="{00000000-0005-0000-0000-000028150000}"/>
    <cellStyle name="Normal 4 4 2 3 2 6 2" xfId="6824" xr:uid="{00000000-0005-0000-0000-000029150000}"/>
    <cellStyle name="Normal 4 4 2 3 2 6 2 2" xfId="16150" xr:uid="{F487D304-B599-4B88-BBFB-CA6E20B4CC2D}"/>
    <cellStyle name="Normal 4 4 2 3 2 6 3" xfId="11933" xr:uid="{89030B2A-D87D-4110-8180-F2DB88EBC8E3}"/>
    <cellStyle name="Normal 4 4 2 3 2 7" xfId="4759" xr:uid="{00000000-0005-0000-0000-00002A150000}"/>
    <cellStyle name="Normal 4 4 2 3 2 7 2" xfId="14085" xr:uid="{DDC94A17-FD51-4F97-82A7-8176758CAF3A}"/>
    <cellStyle name="Normal 4 4 2 3 2 8" xfId="9091" xr:uid="{9DBAED0A-05EE-4674-B1B7-8D03DBB53301}"/>
    <cellStyle name="Normal 4 4 2 3 2 9" xfId="9868" xr:uid="{7E46F4CE-6CEC-47BA-93CB-D548381E3032}"/>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FB5F966E-D415-4818-BEA8-6FB620B7D0DA}"/>
    <cellStyle name="Normal 4 4 2 3 3 2 3" xfId="12425" xr:uid="{0E09C783-998B-495A-860B-63C0EEF8E269}"/>
    <cellStyle name="Normal 4 4 2 3 3 3" xfId="5171" xr:uid="{00000000-0005-0000-0000-00002E150000}"/>
    <cellStyle name="Normal 4 4 2 3 3 3 2" xfId="14497" xr:uid="{9E00DAC8-C8C9-4DF8-874D-8ABFE1639BE9}"/>
    <cellStyle name="Normal 4 4 2 3 3 4" xfId="9309" xr:uid="{73E912F6-92AF-449E-AE53-1DEDEF686C0F}"/>
    <cellStyle name="Normal 4 4 2 3 3 5" xfId="10280" xr:uid="{198EE8FE-5651-468B-A952-78468C700611}"/>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61979198-5C4B-4313-9F4C-0352F01D2CFF}"/>
    <cellStyle name="Normal 4 4 2 3 4 2 3" xfId="12838" xr:uid="{E39C080D-349D-4AEE-A8F9-8011AB5B9EEF}"/>
    <cellStyle name="Normal 4 4 2 3 4 3" xfId="5584" xr:uid="{00000000-0005-0000-0000-000032150000}"/>
    <cellStyle name="Normal 4 4 2 3 4 3 2" xfId="14910" xr:uid="{005A19BB-EB75-492D-8A33-D18E2C19F9B3}"/>
    <cellStyle name="Normal 4 4 2 3 4 4" xfId="10693" xr:uid="{2DC28F8C-1D2C-4279-A385-D3CECEA5EAB0}"/>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9EE32F32-CC3F-4AD4-ACD5-837D5771999B}"/>
    <cellStyle name="Normal 4 4 2 3 5 2 3" xfId="13251" xr:uid="{69D96C46-6406-4193-BD70-EA49169ACA9F}"/>
    <cellStyle name="Normal 4 4 2 3 5 3" xfId="5997" xr:uid="{00000000-0005-0000-0000-000036150000}"/>
    <cellStyle name="Normal 4 4 2 3 5 3 2" xfId="15323" xr:uid="{BF3A69D0-04CD-4B8E-864B-6340C3CCAF63}"/>
    <cellStyle name="Normal 4 4 2 3 5 4" xfId="11106" xr:uid="{30E51B36-F014-4568-83F7-D562B3436D8C}"/>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FFC4D622-793A-44EE-8A86-68BAF61F2EFF}"/>
    <cellStyle name="Normal 4 4 2 3 6 2 3" xfId="13664" xr:uid="{ED5725D1-CF29-4585-8794-BDC81E35023F}"/>
    <cellStyle name="Normal 4 4 2 3 6 3" xfId="6410" xr:uid="{00000000-0005-0000-0000-00003A150000}"/>
    <cellStyle name="Normal 4 4 2 3 6 3 2" xfId="15736" xr:uid="{705B0F60-1247-4DF9-B30C-38193FEA88CF}"/>
    <cellStyle name="Normal 4 4 2 3 6 4" xfId="11519" xr:uid="{5B42CA60-F814-49E4-8692-8279DBBE7890}"/>
    <cellStyle name="Normal 4 4 2 3 7" xfId="2540" xr:uid="{00000000-0005-0000-0000-00003B150000}"/>
    <cellStyle name="Normal 4 4 2 3 7 2" xfId="6823" xr:uid="{00000000-0005-0000-0000-00003C150000}"/>
    <cellStyle name="Normal 4 4 2 3 7 2 2" xfId="16149" xr:uid="{BB85D186-622D-4701-994C-2847D5C49454}"/>
    <cellStyle name="Normal 4 4 2 3 7 3" xfId="11932" xr:uid="{C86C3ADF-FBA1-4A6E-8670-810AE902212A}"/>
    <cellStyle name="Normal 4 4 2 3 8" xfId="4758" xr:uid="{00000000-0005-0000-0000-00003D150000}"/>
    <cellStyle name="Normal 4 4 2 3 8 2" xfId="14084" xr:uid="{EB3755D1-6F0C-49B2-BA73-60E908D0D9E9}"/>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87EDFE98-5681-4DE7-97BE-773D70C6420E}"/>
    <cellStyle name="Normal 4 4 2 4 2 2 3" xfId="12427" xr:uid="{CB8CB672-7A5F-4036-B8DB-1C4E88B455F2}"/>
    <cellStyle name="Normal 4 4 2 4 2 3" xfId="5173" xr:uid="{00000000-0005-0000-0000-000042150000}"/>
    <cellStyle name="Normal 4 4 2 4 2 3 2" xfId="14499" xr:uid="{CAE8408A-C3D7-40A9-86B1-2ED6911C206A}"/>
    <cellStyle name="Normal 4 4 2 4 2 4" xfId="9413" xr:uid="{4DC092EA-7C69-4E02-9FE8-33F62D070F54}"/>
    <cellStyle name="Normal 4 4 2 4 2 5" xfId="10282" xr:uid="{F08705F6-B02F-4EF5-B98F-67E1E4511BBB}"/>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49C6C53C-09D2-4473-8C6A-4F7B6C4B5381}"/>
    <cellStyle name="Normal 4 4 2 4 3 2 3" xfId="12840" xr:uid="{2BFB9394-2084-41C0-8D30-CCB53B14A304}"/>
    <cellStyle name="Normal 4 4 2 4 3 3" xfId="5586" xr:uid="{00000000-0005-0000-0000-000046150000}"/>
    <cellStyle name="Normal 4 4 2 4 3 3 2" xfId="14912" xr:uid="{3C2C6C65-C559-45E3-B404-2BA1EF4AB176}"/>
    <cellStyle name="Normal 4 4 2 4 3 4" xfId="10695" xr:uid="{907FCB99-4B4D-47D0-AA2A-26CA3D58046C}"/>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6BF7E1AD-DDC5-4F83-A8F4-004DAC061813}"/>
    <cellStyle name="Normal 4 4 2 4 4 2 3" xfId="13253" xr:uid="{33572962-69E2-4329-90B8-877EC8C4CA6B}"/>
    <cellStyle name="Normal 4 4 2 4 4 3" xfId="5999" xr:uid="{00000000-0005-0000-0000-00004A150000}"/>
    <cellStyle name="Normal 4 4 2 4 4 3 2" xfId="15325" xr:uid="{521B76A0-19BB-4EF7-AE0A-A0F0011B76C3}"/>
    <cellStyle name="Normal 4 4 2 4 4 4" xfId="11108" xr:uid="{764B3F65-34AF-42DA-B778-28B971F6649E}"/>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A1FA47ED-FEA4-428B-964E-7B658AB20DAD}"/>
    <cellStyle name="Normal 4 4 2 4 5 2 3" xfId="13666" xr:uid="{E01BCBB7-28EA-4047-AF83-8E31503CC200}"/>
    <cellStyle name="Normal 4 4 2 4 5 3" xfId="6412" xr:uid="{00000000-0005-0000-0000-00004E150000}"/>
    <cellStyle name="Normal 4 4 2 4 5 3 2" xfId="15738" xr:uid="{8816E7DC-3038-4DEA-AC49-03B79F08B406}"/>
    <cellStyle name="Normal 4 4 2 4 5 4" xfId="11521" xr:uid="{03C6D72B-A722-4E29-A4AD-289AC6A95B46}"/>
    <cellStyle name="Normal 4 4 2 4 6" xfId="2542" xr:uid="{00000000-0005-0000-0000-00004F150000}"/>
    <cellStyle name="Normal 4 4 2 4 6 2" xfId="6825" xr:uid="{00000000-0005-0000-0000-000050150000}"/>
    <cellStyle name="Normal 4 4 2 4 6 2 2" xfId="16151" xr:uid="{79027483-0B0F-470D-83C8-6FF4197AB25C}"/>
    <cellStyle name="Normal 4 4 2 4 6 3" xfId="11934" xr:uid="{C33018A4-B433-4278-A3C1-1B9CF7D8955C}"/>
    <cellStyle name="Normal 4 4 2 4 7" xfId="4760" xr:uid="{00000000-0005-0000-0000-000051150000}"/>
    <cellStyle name="Normal 4 4 2 4 7 2" xfId="14086" xr:uid="{11F67DC8-3B03-4DEB-B50A-BD9A099F7C8D}"/>
    <cellStyle name="Normal 4 4 2 4 8" xfId="8988" xr:uid="{F852E7B0-7ACD-4401-B3B6-BE989A5C8AD5}"/>
    <cellStyle name="Normal 4 4 2 4 9" xfId="9869" xr:uid="{0E755F53-9CDD-4DB5-AFC5-F4C0277EA66F}"/>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703323DA-27F6-45EF-80C0-64F91467A1F1}"/>
    <cellStyle name="Normal 4 4 2 5 2 3" xfId="12420" xr:uid="{13472D50-4318-4C45-8B2E-14379879B41D}"/>
    <cellStyle name="Normal 4 4 2 5 3" xfId="5166" xr:uid="{00000000-0005-0000-0000-000055150000}"/>
    <cellStyle name="Normal 4 4 2 5 3 2" xfId="14492" xr:uid="{6DECD5B2-3124-4203-AD15-35ECBBF7FE49}"/>
    <cellStyle name="Normal 4 4 2 5 4" xfId="9205" xr:uid="{A63DE01D-3EC8-40FC-A47E-E0EA001EED52}"/>
    <cellStyle name="Normal 4 4 2 5 5" xfId="10275" xr:uid="{D7D27E29-0FFF-4A14-B047-971E3813A5D7}"/>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B1573E54-2AEB-406B-8AA0-407904A07C5A}"/>
    <cellStyle name="Normal 4 4 2 6 2 3" xfId="12833" xr:uid="{AB53A26B-BF30-439F-B5C8-06783F205711}"/>
    <cellStyle name="Normal 4 4 2 6 3" xfId="5579" xr:uid="{00000000-0005-0000-0000-000059150000}"/>
    <cellStyle name="Normal 4 4 2 6 3 2" xfId="14905" xr:uid="{BF91F725-D50B-4944-A15D-536042C901C1}"/>
    <cellStyle name="Normal 4 4 2 6 4" xfId="10688" xr:uid="{C3CBF01E-8D5A-4FDE-BD82-2CEE21A13E09}"/>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F6524B83-A77E-4EAE-B2F4-56138C60C4C7}"/>
    <cellStyle name="Normal 4 4 2 7 2 3" xfId="13246" xr:uid="{0FF96040-B06B-49A8-82AA-A0D46FCB9DB4}"/>
    <cellStyle name="Normal 4 4 2 7 3" xfId="5992" xr:uid="{00000000-0005-0000-0000-00005D150000}"/>
    <cellStyle name="Normal 4 4 2 7 3 2" xfId="15318" xr:uid="{6E4105BA-953D-4836-AD12-EDCBFB7B0AE8}"/>
    <cellStyle name="Normal 4 4 2 7 4" xfId="11101" xr:uid="{2EEE2379-47C1-42CB-82CE-7599F68FB5B8}"/>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C79883F9-EC1F-4279-BC01-7CFE3E5FD16C}"/>
    <cellStyle name="Normal 4 4 2 8 2 3" xfId="13659" xr:uid="{5EF50023-2DFC-47F1-85A8-3619259EAD09}"/>
    <cellStyle name="Normal 4 4 2 8 3" xfId="6405" xr:uid="{00000000-0005-0000-0000-000061150000}"/>
    <cellStyle name="Normal 4 4 2 8 3 2" xfId="15731" xr:uid="{52C59A56-128B-483F-A089-0E7671896CED}"/>
    <cellStyle name="Normal 4 4 2 8 4" xfId="11514" xr:uid="{5BA996A7-B512-4A02-9BFD-9F51E1F0F52E}"/>
    <cellStyle name="Normal 4 4 2 9" xfId="2535" xr:uid="{00000000-0005-0000-0000-000062150000}"/>
    <cellStyle name="Normal 4 4 2 9 2" xfId="6818" xr:uid="{00000000-0005-0000-0000-000063150000}"/>
    <cellStyle name="Normal 4 4 2 9 2 2" xfId="16144" xr:uid="{2728A9ED-0533-4FC8-A566-FF7F7BCD0F92}"/>
    <cellStyle name="Normal 4 4 2 9 3" xfId="11927" xr:uid="{5CFD6963-0473-4EEE-8E4B-01674712F96D}"/>
    <cellStyle name="Normal 4 4 3" xfId="387" xr:uid="{00000000-0005-0000-0000-000064150000}"/>
    <cellStyle name="Normal 4 4 3 10" xfId="8823" xr:uid="{E623F102-F69B-4FD0-BEDA-A1480AF4D892}"/>
    <cellStyle name="Normal 4 4 3 11" xfId="9870" xr:uid="{B0A91EB3-007B-48FA-8C3D-F3913B001389}"/>
    <cellStyle name="Normal 4 4 3 2" xfId="388" xr:uid="{00000000-0005-0000-0000-000065150000}"/>
    <cellStyle name="Normal 4 4 3 2 10" xfId="9871" xr:uid="{980E0510-8465-45B9-B770-331197F87624}"/>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2E10B43D-2CEA-460C-8296-A0F87AC6B541}"/>
    <cellStyle name="Normal 4 4 3 2 2 2 2 3" xfId="12430" xr:uid="{1EDD9F6F-8E63-4638-8879-AEA29BF09D51}"/>
    <cellStyle name="Normal 4 4 3 2 2 2 3" xfId="5176" xr:uid="{00000000-0005-0000-0000-00006A150000}"/>
    <cellStyle name="Normal 4 4 3 2 2 2 3 2" xfId="14502" xr:uid="{9CA30E8C-33B5-472F-B7AE-10D7870BF5CE}"/>
    <cellStyle name="Normal 4 4 3 2 2 2 4" xfId="9558" xr:uid="{8C9519E6-5920-473D-9749-EC61E4877632}"/>
    <cellStyle name="Normal 4 4 3 2 2 2 5" xfId="10285" xr:uid="{EBF8FBF6-C96A-4D25-8F53-E01B6EC4BF19}"/>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0566C23B-EDDD-4BA1-8677-B5A8B9912765}"/>
    <cellStyle name="Normal 4 4 3 2 2 3 2 3" xfId="12843" xr:uid="{2DF4B608-7B5B-4903-9CC5-E058EDAA8EBF}"/>
    <cellStyle name="Normal 4 4 3 2 2 3 3" xfId="5589" xr:uid="{00000000-0005-0000-0000-00006E150000}"/>
    <cellStyle name="Normal 4 4 3 2 2 3 3 2" xfId="14915" xr:uid="{386A4B7A-D0A6-428D-8544-A68A2E6680B2}"/>
    <cellStyle name="Normal 4 4 3 2 2 3 4" xfId="10698" xr:uid="{7DB9B891-D5ED-4ADE-BAB1-C3245E9D74EE}"/>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85C19AA3-9D00-4695-930D-D2AE78170827}"/>
    <cellStyle name="Normal 4 4 3 2 2 4 2 3" xfId="13256" xr:uid="{5A68F610-2567-4538-9744-4FE42EC8CB6A}"/>
    <cellStyle name="Normal 4 4 3 2 2 4 3" xfId="6002" xr:uid="{00000000-0005-0000-0000-000072150000}"/>
    <cellStyle name="Normal 4 4 3 2 2 4 3 2" xfId="15328" xr:uid="{98F73AF0-3E90-4062-91BD-297C6DB352A8}"/>
    <cellStyle name="Normal 4 4 3 2 2 4 4" xfId="11111" xr:uid="{62C2E6A5-0A84-4191-9601-28EA0C9BB193}"/>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4D0D76B9-30BF-4AB0-85A1-C9DF7571A76D}"/>
    <cellStyle name="Normal 4 4 3 2 2 5 2 3" xfId="13669" xr:uid="{F987C32B-519E-4052-9148-B9BA3509A290}"/>
    <cellStyle name="Normal 4 4 3 2 2 5 3" xfId="6415" xr:uid="{00000000-0005-0000-0000-000076150000}"/>
    <cellStyle name="Normal 4 4 3 2 2 5 3 2" xfId="15741" xr:uid="{14848C16-C074-4D9B-A486-1D118BF5A98B}"/>
    <cellStyle name="Normal 4 4 3 2 2 5 4" xfId="11524" xr:uid="{0527BF41-747A-459A-B774-95FC96B70F2D}"/>
    <cellStyle name="Normal 4 4 3 2 2 6" xfId="2545" xr:uid="{00000000-0005-0000-0000-000077150000}"/>
    <cellStyle name="Normal 4 4 3 2 2 6 2" xfId="6828" xr:uid="{00000000-0005-0000-0000-000078150000}"/>
    <cellStyle name="Normal 4 4 3 2 2 6 2 2" xfId="16154" xr:uid="{1B9B5DD8-D401-47C2-B723-DACA71C7F2B9}"/>
    <cellStyle name="Normal 4 4 3 2 2 6 3" xfId="11937" xr:uid="{75F6ABAE-AD57-4EBB-9882-5BFE9BFD844B}"/>
    <cellStyle name="Normal 4 4 3 2 2 7" xfId="4763" xr:uid="{00000000-0005-0000-0000-000079150000}"/>
    <cellStyle name="Normal 4 4 3 2 2 7 2" xfId="14089" xr:uid="{3AD0AFB5-9AF4-42B0-8F6A-1300EAEC4F81}"/>
    <cellStyle name="Normal 4 4 3 2 2 8" xfId="9133" xr:uid="{37002A66-D58A-4EF9-8D22-8F1A3EE99E08}"/>
    <cellStyle name="Normal 4 4 3 2 2 9" xfId="9872" xr:uid="{CD4F34D9-C706-4C53-B1F3-9EFC79D81C6A}"/>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9F2B76B9-F77E-4CD5-A220-71F53E241E5C}"/>
    <cellStyle name="Normal 4 4 3 2 3 2 3" xfId="12429" xr:uid="{1BF9078A-FDA2-4094-8865-E2F332961A50}"/>
    <cellStyle name="Normal 4 4 3 2 3 3" xfId="5175" xr:uid="{00000000-0005-0000-0000-00007D150000}"/>
    <cellStyle name="Normal 4 4 3 2 3 3 2" xfId="14501" xr:uid="{7F83091F-CE5B-4B0E-9358-CAA463DC2432}"/>
    <cellStyle name="Normal 4 4 3 2 3 4" xfId="9351" xr:uid="{51AD2B95-755A-411D-AA40-98381F5D8294}"/>
    <cellStyle name="Normal 4 4 3 2 3 5" xfId="10284" xr:uid="{27726929-3898-4240-8CD1-1EA15F86B243}"/>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47BCDDC9-E2F5-4C1F-AEAF-7E08196A550C}"/>
    <cellStyle name="Normal 4 4 3 2 4 2 3" xfId="12842" xr:uid="{5445CA22-E975-44E2-AF97-E7C1DF3DE607}"/>
    <cellStyle name="Normal 4 4 3 2 4 3" xfId="5588" xr:uid="{00000000-0005-0000-0000-000081150000}"/>
    <cellStyle name="Normal 4 4 3 2 4 3 2" xfId="14914" xr:uid="{C9282B26-B55D-42E1-A8FD-21CDE27B6BB0}"/>
    <cellStyle name="Normal 4 4 3 2 4 4" xfId="10697" xr:uid="{FA1D4635-32E7-485B-86E4-9EB4FC701EBB}"/>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91B2B3E4-F6CC-4B60-B6FF-7981271841D8}"/>
    <cellStyle name="Normal 4 4 3 2 5 2 3" xfId="13255" xr:uid="{79E289C0-547F-42F7-844C-751424D06018}"/>
    <cellStyle name="Normal 4 4 3 2 5 3" xfId="6001" xr:uid="{00000000-0005-0000-0000-000085150000}"/>
    <cellStyle name="Normal 4 4 3 2 5 3 2" xfId="15327" xr:uid="{FE84B10D-D1B9-44EF-B418-D1599F82F1DA}"/>
    <cellStyle name="Normal 4 4 3 2 5 4" xfId="11110" xr:uid="{0B31D175-DE54-4942-8BE2-70F5AEDC6424}"/>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AFC17C9D-64BA-4F0F-8FF7-04F48D0AF7D1}"/>
    <cellStyle name="Normal 4 4 3 2 6 2 3" xfId="13668" xr:uid="{E3BB818A-C9B3-4052-B781-F1C0601E97DB}"/>
    <cellStyle name="Normal 4 4 3 2 6 3" xfId="6414" xr:uid="{00000000-0005-0000-0000-000089150000}"/>
    <cellStyle name="Normal 4 4 3 2 6 3 2" xfId="15740" xr:uid="{413C2E06-35B6-4467-9979-92C32D77D81A}"/>
    <cellStyle name="Normal 4 4 3 2 6 4" xfId="11523" xr:uid="{7797D722-3710-4159-AFE8-44CEA581EC48}"/>
    <cellStyle name="Normal 4 4 3 2 7" xfId="2544" xr:uid="{00000000-0005-0000-0000-00008A150000}"/>
    <cellStyle name="Normal 4 4 3 2 7 2" xfId="6827" xr:uid="{00000000-0005-0000-0000-00008B150000}"/>
    <cellStyle name="Normal 4 4 3 2 7 2 2" xfId="16153" xr:uid="{26AA181B-8ACD-4FFD-A174-FB2CE8352733}"/>
    <cellStyle name="Normal 4 4 3 2 7 3" xfId="11936" xr:uid="{66689668-3BFB-4E25-BECC-6ACB9867B996}"/>
    <cellStyle name="Normal 4 4 3 2 8" xfId="4762" xr:uid="{00000000-0005-0000-0000-00008C150000}"/>
    <cellStyle name="Normal 4 4 3 2 8 2" xfId="14088" xr:uid="{09D7B4A7-91DA-4737-9946-CC778B43F894}"/>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DB9832A3-B73F-4D0B-8FB3-38B8FC00B09F}"/>
    <cellStyle name="Normal 4 4 3 3 2 2 3" xfId="12431" xr:uid="{6829885E-A351-4D31-A9E0-7C1B25ACA41E}"/>
    <cellStyle name="Normal 4 4 3 3 2 3" xfId="5177" xr:uid="{00000000-0005-0000-0000-000091150000}"/>
    <cellStyle name="Normal 4 4 3 3 2 3 2" xfId="14503" xr:uid="{130FEF4D-203C-43E9-9279-9EE06D4D40E8}"/>
    <cellStyle name="Normal 4 4 3 3 2 4" xfId="9455" xr:uid="{E39EB3A2-D99A-426C-AFEC-E4C90C85BE02}"/>
    <cellStyle name="Normal 4 4 3 3 2 5" xfId="10286" xr:uid="{5B291FB9-D9E2-4645-B03B-8367564C93A2}"/>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1BDC7F69-157C-481A-A51D-174BACFF2BAE}"/>
    <cellStyle name="Normal 4 4 3 3 3 2 3" xfId="12844" xr:uid="{30422872-10CB-49FB-B274-EA549D63C127}"/>
    <cellStyle name="Normal 4 4 3 3 3 3" xfId="5590" xr:uid="{00000000-0005-0000-0000-000095150000}"/>
    <cellStyle name="Normal 4 4 3 3 3 3 2" xfId="14916" xr:uid="{7A016A71-ECDE-4A31-BE55-5911B478E3C4}"/>
    <cellStyle name="Normal 4 4 3 3 3 4" xfId="10699" xr:uid="{FE352CEF-6FF9-4988-A43C-44BD27BE7A53}"/>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DFDDD7C8-4B73-46F3-94BF-2E77A42C70DA}"/>
    <cellStyle name="Normal 4 4 3 3 4 2 3" xfId="13257" xr:uid="{D840FEB9-DCA6-42BD-B292-B27C8668D544}"/>
    <cellStyle name="Normal 4 4 3 3 4 3" xfId="6003" xr:uid="{00000000-0005-0000-0000-000099150000}"/>
    <cellStyle name="Normal 4 4 3 3 4 3 2" xfId="15329" xr:uid="{FFE6253D-6A20-4CF4-9FA5-C8EDCF755883}"/>
    <cellStyle name="Normal 4 4 3 3 4 4" xfId="11112" xr:uid="{BCB75A20-EBB0-4184-A696-CA9DD74A4E8E}"/>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BB71F3D9-A2A3-42D5-937F-4DD935ABE412}"/>
    <cellStyle name="Normal 4 4 3 3 5 2 3" xfId="13670" xr:uid="{9B36C31F-845A-4533-AAF3-DD36AE376946}"/>
    <cellStyle name="Normal 4 4 3 3 5 3" xfId="6416" xr:uid="{00000000-0005-0000-0000-00009D150000}"/>
    <cellStyle name="Normal 4 4 3 3 5 3 2" xfId="15742" xr:uid="{1EB76A2A-72EA-472E-ABBE-CAC16299625B}"/>
    <cellStyle name="Normal 4 4 3 3 5 4" xfId="11525" xr:uid="{D96D3B19-E67A-45A6-84EA-25981AB3800C}"/>
    <cellStyle name="Normal 4 4 3 3 6" xfId="2546" xr:uid="{00000000-0005-0000-0000-00009E150000}"/>
    <cellStyle name="Normal 4 4 3 3 6 2" xfId="6829" xr:uid="{00000000-0005-0000-0000-00009F150000}"/>
    <cellStyle name="Normal 4 4 3 3 6 2 2" xfId="16155" xr:uid="{24F692B3-C638-4314-9C71-CAD7EBFB4D2F}"/>
    <cellStyle name="Normal 4 4 3 3 6 3" xfId="11938" xr:uid="{DDE311DA-565A-4351-B570-2206A50B355A}"/>
    <cellStyle name="Normal 4 4 3 3 7" xfId="4764" xr:uid="{00000000-0005-0000-0000-0000A0150000}"/>
    <cellStyle name="Normal 4 4 3 3 7 2" xfId="14090" xr:uid="{E4FCF2E1-6C9F-4A6A-95E8-F91198BAF204}"/>
    <cellStyle name="Normal 4 4 3 3 8" xfId="9030" xr:uid="{F975DAAD-4546-4770-9976-5C5C66DA227B}"/>
    <cellStyle name="Normal 4 4 3 3 9" xfId="9873" xr:uid="{CA89871B-EA16-4965-9BF6-F4EC5B499A05}"/>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1EA551E1-243F-4C68-8F0E-54C242411344}"/>
    <cellStyle name="Normal 4 4 3 4 2 3" xfId="12428" xr:uid="{CCCEED0E-C3C0-4EC3-A6CE-F5EC87B6E950}"/>
    <cellStyle name="Normal 4 4 3 4 3" xfId="5174" xr:uid="{00000000-0005-0000-0000-0000A4150000}"/>
    <cellStyle name="Normal 4 4 3 4 3 2" xfId="14500" xr:uid="{4ADC62B1-EEA7-4936-8783-E17747495C3D}"/>
    <cellStyle name="Normal 4 4 3 4 4" xfId="9248" xr:uid="{6C5F877B-48E6-47C2-B849-E53F373D5A86}"/>
    <cellStyle name="Normal 4 4 3 4 5" xfId="10283" xr:uid="{BD8A5DE6-88C2-43E7-8B20-C18956F8A7DD}"/>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4A67234F-E002-49CA-8781-7F9BC8AB9DD7}"/>
    <cellStyle name="Normal 4 4 3 5 2 3" xfId="12841" xr:uid="{DFE57808-F0B0-4005-AA5D-E9C61537E808}"/>
    <cellStyle name="Normal 4 4 3 5 3" xfId="5587" xr:uid="{00000000-0005-0000-0000-0000A8150000}"/>
    <cellStyle name="Normal 4 4 3 5 3 2" xfId="14913" xr:uid="{F24D91AB-8BD7-4739-8AC4-C4F56B70C3A8}"/>
    <cellStyle name="Normal 4 4 3 5 4" xfId="10696" xr:uid="{56CD1567-2B38-4D45-B81E-146415BBC8C1}"/>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0CF5C2D6-056A-42F3-AB7B-2F94AAF67B23}"/>
    <cellStyle name="Normal 4 4 3 6 2 3" xfId="13254" xr:uid="{AF710013-6297-4388-9D6B-92661AD8186D}"/>
    <cellStyle name="Normal 4 4 3 6 3" xfId="6000" xr:uid="{00000000-0005-0000-0000-0000AC150000}"/>
    <cellStyle name="Normal 4 4 3 6 3 2" xfId="15326" xr:uid="{323E01C2-C31A-4B4E-BD3A-C336EBB659F7}"/>
    <cellStyle name="Normal 4 4 3 6 4" xfId="11109" xr:uid="{927D183B-F895-4645-97E3-02675DA55309}"/>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6527DAED-01C3-43FD-980C-F763D889C734}"/>
    <cellStyle name="Normal 4 4 3 7 2 3" xfId="13667" xr:uid="{4CE7A8CB-EB7D-434D-9D1B-49464A6E674B}"/>
    <cellStyle name="Normal 4 4 3 7 3" xfId="6413" xr:uid="{00000000-0005-0000-0000-0000B0150000}"/>
    <cellStyle name="Normal 4 4 3 7 3 2" xfId="15739" xr:uid="{534507A4-4432-4574-8FA2-9FBDB5C0A387}"/>
    <cellStyle name="Normal 4 4 3 7 4" xfId="11522" xr:uid="{3C74ED67-995C-4AC5-BF56-6574BA38FC4C}"/>
    <cellStyle name="Normal 4 4 3 8" xfId="2543" xr:uid="{00000000-0005-0000-0000-0000B1150000}"/>
    <cellStyle name="Normal 4 4 3 8 2" xfId="6826" xr:uid="{00000000-0005-0000-0000-0000B2150000}"/>
    <cellStyle name="Normal 4 4 3 8 2 2" xfId="16152" xr:uid="{599A6310-93B2-4A3F-AB52-0F38FE538F4A}"/>
    <cellStyle name="Normal 4 4 3 8 3" xfId="11935" xr:uid="{B342D9D4-728E-4179-8A16-388324290D5B}"/>
    <cellStyle name="Normal 4 4 3 9" xfId="4761" xr:uid="{00000000-0005-0000-0000-0000B3150000}"/>
    <cellStyle name="Normal 4 4 3 9 2" xfId="14087" xr:uid="{EEBB0294-78CC-465C-B43E-FC62D5E20753}"/>
    <cellStyle name="Normal 4 4 4" xfId="391" xr:uid="{00000000-0005-0000-0000-0000B4150000}"/>
    <cellStyle name="Normal 4 4 4 10" xfId="9874" xr:uid="{DDF586CC-BBA1-4B77-A0AF-F17F3FE63E5D}"/>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C88DD00B-DD3A-4F9D-9D66-F3B1313CBAEE}"/>
    <cellStyle name="Normal 4 4 4 2 2 2 3" xfId="12433" xr:uid="{2230CDDE-F768-4CFD-957F-0B037047A3B8}"/>
    <cellStyle name="Normal 4 4 4 2 2 3" xfId="5179" xr:uid="{00000000-0005-0000-0000-0000B9150000}"/>
    <cellStyle name="Normal 4 4 4 2 2 3 2" xfId="14505" xr:uid="{D59911EB-80CC-4C52-94E1-C2DCDF570818}"/>
    <cellStyle name="Normal 4 4 4 2 2 4" xfId="9484" xr:uid="{69910E0C-08C8-41C5-A6FC-61B52F6CD538}"/>
    <cellStyle name="Normal 4 4 4 2 2 5" xfId="10288" xr:uid="{70BEEF8F-3EC2-40E9-A64A-414CA823D07F}"/>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172A397C-DBB4-4B76-AF75-33C32EEBD246}"/>
    <cellStyle name="Normal 4 4 4 2 3 2 3" xfId="12846" xr:uid="{78FFDBF7-FFF8-4D5C-8F26-D3B4075EA8B5}"/>
    <cellStyle name="Normal 4 4 4 2 3 3" xfId="5592" xr:uid="{00000000-0005-0000-0000-0000BD150000}"/>
    <cellStyle name="Normal 4 4 4 2 3 3 2" xfId="14918" xr:uid="{ED094CCB-0207-4037-BD8A-25863BB16346}"/>
    <cellStyle name="Normal 4 4 4 2 3 4" xfId="10701" xr:uid="{3E7F5B60-E7B5-45AA-B962-BAD8A390AE69}"/>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B4D689CB-4A0A-444A-9FA3-AE83B0EC9440}"/>
    <cellStyle name="Normal 4 4 4 2 4 2 3" xfId="13259" xr:uid="{FBD8BB3F-20B6-43E7-A543-75AF80084DB1}"/>
    <cellStyle name="Normal 4 4 4 2 4 3" xfId="6005" xr:uid="{00000000-0005-0000-0000-0000C1150000}"/>
    <cellStyle name="Normal 4 4 4 2 4 3 2" xfId="15331" xr:uid="{E50363A3-E6DF-4FA3-A44B-AC92FF7E695D}"/>
    <cellStyle name="Normal 4 4 4 2 4 4" xfId="11114" xr:uid="{7B7328CF-4B02-4F12-B73E-CA0C736EBE0F}"/>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ECFCED83-8C09-4EAB-9381-6315ACC993F4}"/>
    <cellStyle name="Normal 4 4 4 2 5 2 3" xfId="13672" xr:uid="{9EB569C5-CB7C-4F55-B56A-05E4A79C8844}"/>
    <cellStyle name="Normal 4 4 4 2 5 3" xfId="6418" xr:uid="{00000000-0005-0000-0000-0000C5150000}"/>
    <cellStyle name="Normal 4 4 4 2 5 3 2" xfId="15744" xr:uid="{2FC5CD73-4F8E-464B-BD71-FF0340CC674B}"/>
    <cellStyle name="Normal 4 4 4 2 5 4" xfId="11527" xr:uid="{5FAEAA21-90F5-4420-AB86-7B42C88AB7FC}"/>
    <cellStyle name="Normal 4 4 4 2 6" xfId="2548" xr:uid="{00000000-0005-0000-0000-0000C6150000}"/>
    <cellStyle name="Normal 4 4 4 2 6 2" xfId="6831" xr:uid="{00000000-0005-0000-0000-0000C7150000}"/>
    <cellStyle name="Normal 4 4 4 2 6 2 2" xfId="16157" xr:uid="{43018D3F-2A97-423E-8C32-CAD7314FDBE3}"/>
    <cellStyle name="Normal 4 4 4 2 6 3" xfId="11940" xr:uid="{D2C7EC54-D757-4A06-8A95-34A07D2D4632}"/>
    <cellStyle name="Normal 4 4 4 2 7" xfId="4766" xr:uid="{00000000-0005-0000-0000-0000C8150000}"/>
    <cellStyle name="Normal 4 4 4 2 7 2" xfId="14092" xr:uid="{8109D702-D9A1-499F-8D12-5DCFF0B668D5}"/>
    <cellStyle name="Normal 4 4 4 2 8" xfId="9059" xr:uid="{76617FCA-DBA6-4291-BD32-6340A19903F7}"/>
    <cellStyle name="Normal 4 4 4 2 9" xfId="9875" xr:uid="{A5C4B349-F6A6-42DF-AD6B-18222CD4EFBE}"/>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9A4063C2-105E-43BE-8D3E-C1BA14888E80}"/>
    <cellStyle name="Normal 4 4 4 3 2 3" xfId="12432" xr:uid="{6A82CC8E-8A99-4FFE-B85E-57B96F671A8B}"/>
    <cellStyle name="Normal 4 4 4 3 3" xfId="5178" xr:uid="{00000000-0005-0000-0000-0000CC150000}"/>
    <cellStyle name="Normal 4 4 4 3 3 2" xfId="14504" xr:uid="{5427501B-F7E2-4452-BD31-879DC2A8C1AC}"/>
    <cellStyle name="Normal 4 4 4 3 4" xfId="9277" xr:uid="{DD01CD29-2559-4BCC-919C-99D1D75C445F}"/>
    <cellStyle name="Normal 4 4 4 3 5" xfId="10287" xr:uid="{89FCC9D1-CA64-401F-B1F0-58E074B1DACE}"/>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05F42C44-E3F5-42BC-97CA-4A78FA68D1CF}"/>
    <cellStyle name="Normal 4 4 4 4 2 3" xfId="12845" xr:uid="{066A95A6-363F-4D5B-8818-16F29E07E6EC}"/>
    <cellStyle name="Normal 4 4 4 4 3" xfId="5591" xr:uid="{00000000-0005-0000-0000-0000D0150000}"/>
    <cellStyle name="Normal 4 4 4 4 3 2" xfId="14917" xr:uid="{C5E1FA17-C1E9-4281-A6B5-31409B7566AD}"/>
    <cellStyle name="Normal 4 4 4 4 4" xfId="10700" xr:uid="{04AD26F1-F6CA-4830-8DAC-09A05B7D349E}"/>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0506C4E5-D716-4A1E-BF52-7CBD657FA392}"/>
    <cellStyle name="Normal 4 4 4 5 2 3" xfId="13258" xr:uid="{B417C53D-0013-4DB8-8443-E13DE727E943}"/>
    <cellStyle name="Normal 4 4 4 5 3" xfId="6004" xr:uid="{00000000-0005-0000-0000-0000D4150000}"/>
    <cellStyle name="Normal 4 4 4 5 3 2" xfId="15330" xr:uid="{4509DFD5-7065-4989-A8BB-8BA9A060D7AE}"/>
    <cellStyle name="Normal 4 4 4 5 4" xfId="11113" xr:uid="{80729AD9-DE44-4F73-86C2-E1E63C0B2287}"/>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102CB443-B10B-4771-BE87-CC2EFA5122C6}"/>
    <cellStyle name="Normal 4 4 4 6 2 3" xfId="13671" xr:uid="{8F17E048-2B77-4D40-85A3-E17E304AC746}"/>
    <cellStyle name="Normal 4 4 4 6 3" xfId="6417" xr:uid="{00000000-0005-0000-0000-0000D8150000}"/>
    <cellStyle name="Normal 4 4 4 6 3 2" xfId="15743" xr:uid="{2D0DE8C7-F073-403E-ABDB-CFCDEBF1F5CA}"/>
    <cellStyle name="Normal 4 4 4 6 4" xfId="11526" xr:uid="{7F69D7F7-714C-45BB-B407-3E2F0975976D}"/>
    <cellStyle name="Normal 4 4 4 7" xfId="2547" xr:uid="{00000000-0005-0000-0000-0000D9150000}"/>
    <cellStyle name="Normal 4 4 4 7 2" xfId="6830" xr:uid="{00000000-0005-0000-0000-0000DA150000}"/>
    <cellStyle name="Normal 4 4 4 7 2 2" xfId="16156" xr:uid="{12FB0E44-07A4-40F4-A151-E75E329D95CC}"/>
    <cellStyle name="Normal 4 4 4 7 3" xfId="11939" xr:uid="{0E0A22A1-4D94-462F-9A94-C55CC43DDFB8}"/>
    <cellStyle name="Normal 4 4 4 8" xfId="4765" xr:uid="{00000000-0005-0000-0000-0000DB150000}"/>
    <cellStyle name="Normal 4 4 4 8 2" xfId="14091" xr:uid="{2063D666-5270-4630-9AC3-6610F9A88846}"/>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DADAACE8-2C5D-45AE-B614-3C1009783944}"/>
    <cellStyle name="Normal 4 4 5 2 2 3" xfId="12434" xr:uid="{F518AB94-4F5D-4203-B7DB-6714CCEBFBDA}"/>
    <cellStyle name="Normal 4 4 5 2 3" xfId="5180" xr:uid="{00000000-0005-0000-0000-0000E0150000}"/>
    <cellStyle name="Normal 4 4 5 2 3 2" xfId="14506" xr:uid="{F0B353B6-81BD-4FB3-A5BB-37A7142BDC63}"/>
    <cellStyle name="Normal 4 4 5 2 4" xfId="9393" xr:uid="{C2991CC4-4E0B-46C4-B338-C6A1C9BA2DE9}"/>
    <cellStyle name="Normal 4 4 5 2 5" xfId="10289" xr:uid="{A268DFD9-1ED4-492F-A416-B08ADBB771E3}"/>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40198FC5-DAF6-4D0D-B953-246690D618AC}"/>
    <cellStyle name="Normal 4 4 5 3 2 3" xfId="12847" xr:uid="{D129AD6E-711C-4B29-ACED-0993EC39B432}"/>
    <cellStyle name="Normal 4 4 5 3 3" xfId="5593" xr:uid="{00000000-0005-0000-0000-0000E4150000}"/>
    <cellStyle name="Normal 4 4 5 3 3 2" xfId="14919" xr:uid="{E13BDC7E-4404-44CC-B99F-A8E5CC0925FC}"/>
    <cellStyle name="Normal 4 4 5 3 4" xfId="10702" xr:uid="{F7692DEB-E1CC-4B21-8F46-0BC9FAAF4B66}"/>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7FD7E439-9612-49F7-A246-00BCDA41BD83}"/>
    <cellStyle name="Normal 4 4 5 4 2 3" xfId="13260" xr:uid="{E31CE90A-5899-4F26-A69D-AA9891AA1A4D}"/>
    <cellStyle name="Normal 4 4 5 4 3" xfId="6006" xr:uid="{00000000-0005-0000-0000-0000E8150000}"/>
    <cellStyle name="Normal 4 4 5 4 3 2" xfId="15332" xr:uid="{D38E8690-6DAB-44F8-9117-DE452B1DABD7}"/>
    <cellStyle name="Normal 4 4 5 4 4" xfId="11115" xr:uid="{E0482C22-0983-4B5D-AF2F-2448874A6798}"/>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8910C503-9DF9-4B1C-938C-CFC7C7591BE6}"/>
    <cellStyle name="Normal 4 4 5 5 2 3" xfId="13673" xr:uid="{353DA086-3071-4DD5-BA8B-B856FD981A8A}"/>
    <cellStyle name="Normal 4 4 5 5 3" xfId="6419" xr:uid="{00000000-0005-0000-0000-0000EC150000}"/>
    <cellStyle name="Normal 4 4 5 5 3 2" xfId="15745" xr:uid="{E1C2D711-EA4F-4713-A179-B314217FF201}"/>
    <cellStyle name="Normal 4 4 5 5 4" xfId="11528" xr:uid="{31773992-BF7B-495F-84DC-73500E7AFECF}"/>
    <cellStyle name="Normal 4 4 5 6" xfId="2549" xr:uid="{00000000-0005-0000-0000-0000ED150000}"/>
    <cellStyle name="Normal 4 4 5 6 2" xfId="6832" xr:uid="{00000000-0005-0000-0000-0000EE150000}"/>
    <cellStyle name="Normal 4 4 5 6 2 2" xfId="16158" xr:uid="{BAA93DF0-72A3-4DD1-BE41-CBCE8160B4C2}"/>
    <cellStyle name="Normal 4 4 5 6 3" xfId="11941" xr:uid="{DB095A98-0F29-4CB8-BFC9-3EE71ABC885F}"/>
    <cellStyle name="Normal 4 4 5 7" xfId="4767" xr:uid="{00000000-0005-0000-0000-0000EF150000}"/>
    <cellStyle name="Normal 4 4 5 7 2" xfId="14093" xr:uid="{98DC8195-B8E0-4BE5-B0FB-17944F8B56A0}"/>
    <cellStyle name="Normal 4 4 5 8" xfId="8968" xr:uid="{BE877DDE-435D-4CBA-84F2-0372D1DDE771}"/>
    <cellStyle name="Normal 4 4 5 9" xfId="9876" xr:uid="{05A1E0A8-3815-4D37-AB13-27C040994B3C}"/>
    <cellStyle name="Normal 4 4 6" xfId="853" xr:uid="{00000000-0005-0000-0000-0000F0150000}"/>
    <cellStyle name="Normal 4 4 6 2" xfId="3088" xr:uid="{00000000-0005-0000-0000-0000F1150000}"/>
    <cellStyle name="Normal 4 4 6 2 2" xfId="7310" xr:uid="{00000000-0005-0000-0000-0000F2150000}"/>
    <cellStyle name="Normal 4 4 6 2 2 2" xfId="16636" xr:uid="{D2B44560-F796-4B05-A473-6CAE73B45870}"/>
    <cellStyle name="Normal 4 4 6 2 3" xfId="12419" xr:uid="{F140124D-A938-4ABB-B104-D0A036B1687C}"/>
    <cellStyle name="Normal 4 4 6 3" xfId="5165" xr:uid="{00000000-0005-0000-0000-0000F3150000}"/>
    <cellStyle name="Normal 4 4 6 3 2" xfId="14491" xr:uid="{86099B5B-6FAC-42B2-9935-7DDD75E43181}"/>
    <cellStyle name="Normal 4 4 6 4" xfId="9171" xr:uid="{C474601B-95F0-4C9E-AB77-B3E61D2A21D7}"/>
    <cellStyle name="Normal 4 4 6 5" xfId="10274" xr:uid="{0EE9E2DB-9295-4ED5-99A9-298590C11DEC}"/>
    <cellStyle name="Normal 4 4 7" xfId="1271" xr:uid="{00000000-0005-0000-0000-0000F4150000}"/>
    <cellStyle name="Normal 4 4 7 2" xfId="3501" xr:uid="{00000000-0005-0000-0000-0000F5150000}"/>
    <cellStyle name="Normal 4 4 7 2 2" xfId="7723" xr:uid="{00000000-0005-0000-0000-0000F6150000}"/>
    <cellStyle name="Normal 4 4 7 2 2 2" xfId="17049" xr:uid="{7AABE6DF-CFE6-4D27-B419-5AF305499182}"/>
    <cellStyle name="Normal 4 4 7 2 3" xfId="12832" xr:uid="{E5813943-3B0D-4D21-B797-DB8530ED9C9B}"/>
    <cellStyle name="Normal 4 4 7 3" xfId="5578" xr:uid="{00000000-0005-0000-0000-0000F7150000}"/>
    <cellStyle name="Normal 4 4 7 3 2" xfId="14904" xr:uid="{17BA5404-E35A-4C6A-93A0-9BA7F255FAA5}"/>
    <cellStyle name="Normal 4 4 7 4" xfId="10687" xr:uid="{B51479CA-DADF-48E3-97B2-4B7ADDB8A525}"/>
    <cellStyle name="Normal 4 4 8" xfId="1684" xr:uid="{00000000-0005-0000-0000-0000F8150000}"/>
    <cellStyle name="Normal 4 4 8 2" xfId="3914" xr:uid="{00000000-0005-0000-0000-0000F9150000}"/>
    <cellStyle name="Normal 4 4 8 2 2" xfId="8136" xr:uid="{00000000-0005-0000-0000-0000FA150000}"/>
    <cellStyle name="Normal 4 4 8 2 2 2" xfId="17462" xr:uid="{88ACD3A0-0AF3-4564-870C-E903956440DA}"/>
    <cellStyle name="Normal 4 4 8 2 3" xfId="13245" xr:uid="{6C7F405B-40CF-43FB-9776-DDE9739AA1B1}"/>
    <cellStyle name="Normal 4 4 8 3" xfId="5991" xr:uid="{00000000-0005-0000-0000-0000FB150000}"/>
    <cellStyle name="Normal 4 4 8 3 2" xfId="15317" xr:uid="{AEAF4079-78AA-4D0D-B9C4-BC348CBF9707}"/>
    <cellStyle name="Normal 4 4 8 4" xfId="11100" xr:uid="{B13049A8-CFBA-4642-B8BA-9113F4F09080}"/>
    <cellStyle name="Normal 4 4 9" xfId="2098" xr:uid="{00000000-0005-0000-0000-0000FC150000}"/>
    <cellStyle name="Normal 4 4 9 2" xfId="4327" xr:uid="{00000000-0005-0000-0000-0000FD150000}"/>
    <cellStyle name="Normal 4 4 9 2 2" xfId="8549" xr:uid="{00000000-0005-0000-0000-0000FE150000}"/>
    <cellStyle name="Normal 4 4 9 2 2 2" xfId="17875" xr:uid="{D1FA1508-E7AB-4CC1-9F11-A25588B28D0A}"/>
    <cellStyle name="Normal 4 4 9 2 3" xfId="13658" xr:uid="{C2539566-BC0D-48DA-A2E9-26C9002EEA4B}"/>
    <cellStyle name="Normal 4 4 9 3" xfId="6404" xr:uid="{00000000-0005-0000-0000-0000FF150000}"/>
    <cellStyle name="Normal 4 4 9 3 2" xfId="15730" xr:uid="{8691F987-3A78-4CC8-A5BF-5A0E23F7B07B}"/>
    <cellStyle name="Normal 4 4 9 4" xfId="11513" xr:uid="{D38D4E8D-3323-4794-983E-F0D02A94DD3F}"/>
    <cellStyle name="Normal 4 5" xfId="394" xr:uid="{00000000-0005-0000-0000-000000160000}"/>
    <cellStyle name="Normal 4 6" xfId="395" xr:uid="{00000000-0005-0000-0000-000001160000}"/>
    <cellStyle name="Normal 4 6 10" xfId="4768" xr:uid="{00000000-0005-0000-0000-000002160000}"/>
    <cellStyle name="Normal 4 6 10 2" xfId="14094" xr:uid="{24416275-9A5D-4742-A821-FAFB16B57317}"/>
    <cellStyle name="Normal 4 6 11" xfId="8772" xr:uid="{23628FEE-4113-4B2C-B2A0-0106FC7F55C2}"/>
    <cellStyle name="Normal 4 6 12" xfId="9877" xr:uid="{643C2D17-4B47-4FBF-9E6C-1569AF54DBC6}"/>
    <cellStyle name="Normal 4 6 2" xfId="396" xr:uid="{00000000-0005-0000-0000-000003160000}"/>
    <cellStyle name="Normal 4 6 2 10" xfId="8825" xr:uid="{C3062495-9D56-441B-95F6-B73E7DAC524C}"/>
    <cellStyle name="Normal 4 6 2 11" xfId="9878" xr:uid="{44B7945E-685A-4E74-96E3-711AF35C59DB}"/>
    <cellStyle name="Normal 4 6 2 2" xfId="397" xr:uid="{00000000-0005-0000-0000-000004160000}"/>
    <cellStyle name="Normal 4 6 2 2 10" xfId="9879" xr:uid="{9390DF1E-198C-431E-8FBE-A4079FADCEA2}"/>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44F591BD-426A-42B3-8448-941F4C693423}"/>
    <cellStyle name="Normal 4 6 2 2 2 2 2 3" xfId="12438" xr:uid="{E82EAFCF-CC67-44BE-99D2-AAD006D4E62E}"/>
    <cellStyle name="Normal 4 6 2 2 2 2 3" xfId="5184" xr:uid="{00000000-0005-0000-0000-000009160000}"/>
    <cellStyle name="Normal 4 6 2 2 2 2 3 2" xfId="14510" xr:uid="{4B300075-2F30-4398-9473-D43CE61A9BD4}"/>
    <cellStyle name="Normal 4 6 2 2 2 2 4" xfId="9560" xr:uid="{04DAEE11-A96E-4522-8546-8A0C107E12B9}"/>
    <cellStyle name="Normal 4 6 2 2 2 2 5" xfId="10293" xr:uid="{A2E50AA4-5FB3-446C-931B-92ED0F662785}"/>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B135F36B-66DC-4C6C-9E5B-B8E452E200CF}"/>
    <cellStyle name="Normal 4 6 2 2 2 3 2 3" xfId="12851" xr:uid="{1F7EA362-A3E6-4D1D-80FF-938B6DC99F66}"/>
    <cellStyle name="Normal 4 6 2 2 2 3 3" xfId="5597" xr:uid="{00000000-0005-0000-0000-00000D160000}"/>
    <cellStyle name="Normal 4 6 2 2 2 3 3 2" xfId="14923" xr:uid="{E4396675-A002-4AFA-9C55-8C756B33D7AC}"/>
    <cellStyle name="Normal 4 6 2 2 2 3 4" xfId="10706" xr:uid="{8E31090C-1D01-4F53-9917-22E36F09028E}"/>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AE4266D6-A17A-41CF-A980-0F47CFFFDEDD}"/>
    <cellStyle name="Normal 4 6 2 2 2 4 2 3" xfId="13264" xr:uid="{2DD20C46-2C3F-4F99-982A-B34DD31CCA77}"/>
    <cellStyle name="Normal 4 6 2 2 2 4 3" xfId="6010" xr:uid="{00000000-0005-0000-0000-000011160000}"/>
    <cellStyle name="Normal 4 6 2 2 2 4 3 2" xfId="15336" xr:uid="{A5AF3004-D5EA-4FE6-A49D-7B1E0BFD1FC2}"/>
    <cellStyle name="Normal 4 6 2 2 2 4 4" xfId="11119" xr:uid="{F7CEE91D-07D6-4177-ADA8-5F557CFBDE78}"/>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6C69FFA2-24BA-4893-8DE1-4DB52556FA7A}"/>
    <cellStyle name="Normal 4 6 2 2 2 5 2 3" xfId="13677" xr:uid="{5BA8B96D-80E5-4E06-9363-C3DE5FA76986}"/>
    <cellStyle name="Normal 4 6 2 2 2 5 3" xfId="6423" xr:uid="{00000000-0005-0000-0000-000015160000}"/>
    <cellStyle name="Normal 4 6 2 2 2 5 3 2" xfId="15749" xr:uid="{745CA96C-EE73-4149-B8B4-7BBA84735ECB}"/>
    <cellStyle name="Normal 4 6 2 2 2 5 4" xfId="11532" xr:uid="{5453F652-5EBD-410B-B539-F63861FF54CE}"/>
    <cellStyle name="Normal 4 6 2 2 2 6" xfId="2553" xr:uid="{00000000-0005-0000-0000-000016160000}"/>
    <cellStyle name="Normal 4 6 2 2 2 6 2" xfId="6836" xr:uid="{00000000-0005-0000-0000-000017160000}"/>
    <cellStyle name="Normal 4 6 2 2 2 6 2 2" xfId="16162" xr:uid="{B596BF89-3EC3-4769-A82B-A3D3C1C489C1}"/>
    <cellStyle name="Normal 4 6 2 2 2 6 3" xfId="11945" xr:uid="{3F3542EB-FE8E-4DB2-A0BC-5D53FDF0EB5B}"/>
    <cellStyle name="Normal 4 6 2 2 2 7" xfId="4771" xr:uid="{00000000-0005-0000-0000-000018160000}"/>
    <cellStyle name="Normal 4 6 2 2 2 7 2" xfId="14097" xr:uid="{F0453E45-6B3D-4DF6-84C2-BB1830CDCE3E}"/>
    <cellStyle name="Normal 4 6 2 2 2 8" xfId="9135" xr:uid="{2F4C420F-13DD-45DD-99DD-C7AFF7CD7823}"/>
    <cellStyle name="Normal 4 6 2 2 2 9" xfId="9880" xr:uid="{3460238A-7776-4395-A2EC-9C8ACE2096A4}"/>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2E898019-5845-4ABB-9F91-34869ABB5FDD}"/>
    <cellStyle name="Normal 4 6 2 2 3 2 3" xfId="12437" xr:uid="{3824312C-7FC1-4697-AED3-C92234E943C6}"/>
    <cellStyle name="Normal 4 6 2 2 3 3" xfId="5183" xr:uid="{00000000-0005-0000-0000-00001C160000}"/>
    <cellStyle name="Normal 4 6 2 2 3 3 2" xfId="14509" xr:uid="{0C9DACAB-D7AE-4E04-89AB-4BA90801CEB4}"/>
    <cellStyle name="Normal 4 6 2 2 3 4" xfId="9353" xr:uid="{60C7EC16-17DE-43AF-A246-41C667B376B7}"/>
    <cellStyle name="Normal 4 6 2 2 3 5" xfId="10292" xr:uid="{640D8BD7-8206-4741-B2E5-0D217C2A28DB}"/>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8466394E-68E1-49CE-8F43-3B43CF293F97}"/>
    <cellStyle name="Normal 4 6 2 2 4 2 3" xfId="12850" xr:uid="{FF7D405A-55EE-41EB-AE37-B0E1A10E9543}"/>
    <cellStyle name="Normal 4 6 2 2 4 3" xfId="5596" xr:uid="{00000000-0005-0000-0000-000020160000}"/>
    <cellStyle name="Normal 4 6 2 2 4 3 2" xfId="14922" xr:uid="{60856565-1AA3-46BD-8B19-CDDE362A8241}"/>
    <cellStyle name="Normal 4 6 2 2 4 4" xfId="10705" xr:uid="{B29781F5-8093-4725-ACEB-24605E51D001}"/>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DC95624B-A0BE-41B9-8CB6-744EFF97FED8}"/>
    <cellStyle name="Normal 4 6 2 2 5 2 3" xfId="13263" xr:uid="{97F141B3-DED2-417D-8E5C-B1C5A9B4B0C2}"/>
    <cellStyle name="Normal 4 6 2 2 5 3" xfId="6009" xr:uid="{00000000-0005-0000-0000-000024160000}"/>
    <cellStyle name="Normal 4 6 2 2 5 3 2" xfId="15335" xr:uid="{F10036B9-1FF2-4138-A6A2-649113722BD9}"/>
    <cellStyle name="Normal 4 6 2 2 5 4" xfId="11118" xr:uid="{1FC63903-319F-4115-BCD2-B6668AC4A323}"/>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A22FDD60-FD41-4EF8-A00E-3B30F49608F4}"/>
    <cellStyle name="Normal 4 6 2 2 6 2 3" xfId="13676" xr:uid="{34789162-AF78-47B0-BA69-22CB94825C02}"/>
    <cellStyle name="Normal 4 6 2 2 6 3" xfId="6422" xr:uid="{00000000-0005-0000-0000-000028160000}"/>
    <cellStyle name="Normal 4 6 2 2 6 3 2" xfId="15748" xr:uid="{58CFD79A-59FA-4AD9-AB9C-916AB43C299E}"/>
    <cellStyle name="Normal 4 6 2 2 6 4" xfId="11531" xr:uid="{4AFFF0A1-2925-4FEA-8F80-FBB7D40B2EB5}"/>
    <cellStyle name="Normal 4 6 2 2 7" xfId="2552" xr:uid="{00000000-0005-0000-0000-000029160000}"/>
    <cellStyle name="Normal 4 6 2 2 7 2" xfId="6835" xr:uid="{00000000-0005-0000-0000-00002A160000}"/>
    <cellStyle name="Normal 4 6 2 2 7 2 2" xfId="16161" xr:uid="{01118DDD-A463-4E74-ADF0-18B4DB40BEAA}"/>
    <cellStyle name="Normal 4 6 2 2 7 3" xfId="11944" xr:uid="{A4DDF5A3-4B24-49F7-8AC3-0E9FB75382B2}"/>
    <cellStyle name="Normal 4 6 2 2 8" xfId="4770" xr:uid="{00000000-0005-0000-0000-00002B160000}"/>
    <cellStyle name="Normal 4 6 2 2 8 2" xfId="14096" xr:uid="{18D0F99A-C7BC-4717-A020-EF49B9209A4A}"/>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EEEDCDF3-C021-4C02-97AA-EEAABB816A63}"/>
    <cellStyle name="Normal 4 6 2 3 2 2 3" xfId="12439" xr:uid="{6908664A-F144-49B2-B2CA-9FB4611B8194}"/>
    <cellStyle name="Normal 4 6 2 3 2 3" xfId="5185" xr:uid="{00000000-0005-0000-0000-000030160000}"/>
    <cellStyle name="Normal 4 6 2 3 2 3 2" xfId="14511" xr:uid="{E905E9B2-8C3B-4D06-849F-405D1DE61236}"/>
    <cellStyle name="Normal 4 6 2 3 2 4" xfId="9457" xr:uid="{E86AED2D-42AD-49DE-9461-1FA72B82C89E}"/>
    <cellStyle name="Normal 4 6 2 3 2 5" xfId="10294" xr:uid="{48384118-D361-40DC-8ADF-927233614E87}"/>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0A87BC5C-D3F6-45BB-9AAF-E8306C028067}"/>
    <cellStyle name="Normal 4 6 2 3 3 2 3" xfId="12852" xr:uid="{CC2FE9FC-C1E6-4AD5-B7E1-11BA6EC19D70}"/>
    <cellStyle name="Normal 4 6 2 3 3 3" xfId="5598" xr:uid="{00000000-0005-0000-0000-000034160000}"/>
    <cellStyle name="Normal 4 6 2 3 3 3 2" xfId="14924" xr:uid="{1A7F8807-0FFD-4DF1-9FF8-6DDD260C31CE}"/>
    <cellStyle name="Normal 4 6 2 3 3 4" xfId="10707" xr:uid="{D6E74FD3-F1DA-4152-B04A-43237DA7F482}"/>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DDA3C29E-FDD0-45F3-9EE2-28F3BD67A642}"/>
    <cellStyle name="Normal 4 6 2 3 4 2 3" xfId="13265" xr:uid="{77D453D8-EA42-424B-92A6-DC12970356B4}"/>
    <cellStyle name="Normal 4 6 2 3 4 3" xfId="6011" xr:uid="{00000000-0005-0000-0000-000038160000}"/>
    <cellStyle name="Normal 4 6 2 3 4 3 2" xfId="15337" xr:uid="{2DC58AD9-E8E0-41E9-A8B2-3637FE08D416}"/>
    <cellStyle name="Normal 4 6 2 3 4 4" xfId="11120" xr:uid="{09C8D2D3-12A5-420D-B948-A2EC5751F430}"/>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2E81FF69-DE36-4A12-9C3D-ACE2729FA774}"/>
    <cellStyle name="Normal 4 6 2 3 5 2 3" xfId="13678" xr:uid="{F38FB0C8-9017-40D6-8733-DE6D1C0F34E5}"/>
    <cellStyle name="Normal 4 6 2 3 5 3" xfId="6424" xr:uid="{00000000-0005-0000-0000-00003C160000}"/>
    <cellStyle name="Normal 4 6 2 3 5 3 2" xfId="15750" xr:uid="{8C97C6BF-432C-4E5F-8ED0-29976635D591}"/>
    <cellStyle name="Normal 4 6 2 3 5 4" xfId="11533" xr:uid="{E1534AA9-426C-440A-832C-411B3F050905}"/>
    <cellStyle name="Normal 4 6 2 3 6" xfId="2554" xr:uid="{00000000-0005-0000-0000-00003D160000}"/>
    <cellStyle name="Normal 4 6 2 3 6 2" xfId="6837" xr:uid="{00000000-0005-0000-0000-00003E160000}"/>
    <cellStyle name="Normal 4 6 2 3 6 2 2" xfId="16163" xr:uid="{19323607-73F1-460F-9C77-94BCEC7DFEAB}"/>
    <cellStyle name="Normal 4 6 2 3 6 3" xfId="11946" xr:uid="{D386B9D3-8025-482E-B4B1-A26FC7A08314}"/>
    <cellStyle name="Normal 4 6 2 3 7" xfId="4772" xr:uid="{00000000-0005-0000-0000-00003F160000}"/>
    <cellStyle name="Normal 4 6 2 3 7 2" xfId="14098" xr:uid="{19E1D2B9-96F6-410F-A3E4-31A40B52B9A5}"/>
    <cellStyle name="Normal 4 6 2 3 8" xfId="9032" xr:uid="{576A1DC5-5971-4772-803F-0A60F80D4C41}"/>
    <cellStyle name="Normal 4 6 2 3 9" xfId="9881" xr:uid="{04D85A5F-EDF3-4B05-9288-7265133490F2}"/>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270629EF-EC42-4633-8EE6-1EA0936ED1C6}"/>
    <cellStyle name="Normal 4 6 2 4 2 3" xfId="12436" xr:uid="{8624BF69-3DAC-46C9-A99E-647493E73483}"/>
    <cellStyle name="Normal 4 6 2 4 3" xfId="5182" xr:uid="{00000000-0005-0000-0000-000043160000}"/>
    <cellStyle name="Normal 4 6 2 4 3 2" xfId="14508" xr:uid="{A07B4360-A148-4EC5-8A37-834CFB49EE0A}"/>
    <cellStyle name="Normal 4 6 2 4 4" xfId="9250" xr:uid="{CBBC9A51-5203-4C00-93C7-FE7C973DCDD1}"/>
    <cellStyle name="Normal 4 6 2 4 5" xfId="10291" xr:uid="{3E58F016-33D8-43E1-91F0-EE1D710B9BBD}"/>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9409B461-647B-41FB-9F84-766FD2623AC8}"/>
    <cellStyle name="Normal 4 6 2 5 2 3" xfId="12849" xr:uid="{5D009F81-7C47-45F0-874E-61E1AE792192}"/>
    <cellStyle name="Normal 4 6 2 5 3" xfId="5595" xr:uid="{00000000-0005-0000-0000-000047160000}"/>
    <cellStyle name="Normal 4 6 2 5 3 2" xfId="14921" xr:uid="{D272A7FC-99C5-4988-8525-13BED89C97D9}"/>
    <cellStyle name="Normal 4 6 2 5 4" xfId="10704" xr:uid="{F2404B9C-2306-441F-9802-02ADDD02F102}"/>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357A7BD0-4980-4CEB-929C-B73AF4C70961}"/>
    <cellStyle name="Normal 4 6 2 6 2 3" xfId="13262" xr:uid="{D34E33B1-5341-452D-9CA3-2104E697F701}"/>
    <cellStyle name="Normal 4 6 2 6 3" xfId="6008" xr:uid="{00000000-0005-0000-0000-00004B160000}"/>
    <cellStyle name="Normal 4 6 2 6 3 2" xfId="15334" xr:uid="{DC3F00CC-B37A-471C-A62C-13B492291A5C}"/>
    <cellStyle name="Normal 4 6 2 6 4" xfId="11117" xr:uid="{3094A692-0FA3-4EEC-AED6-4EEE877B860F}"/>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3CE9B63C-1FA5-4D31-A927-D69FC608D5C7}"/>
    <cellStyle name="Normal 4 6 2 7 2 3" xfId="13675" xr:uid="{A8C4ABA4-146F-4FEF-8176-C39AD0C36844}"/>
    <cellStyle name="Normal 4 6 2 7 3" xfId="6421" xr:uid="{00000000-0005-0000-0000-00004F160000}"/>
    <cellStyle name="Normal 4 6 2 7 3 2" xfId="15747" xr:uid="{DC018323-D033-4815-9C04-10AB1CDC90BD}"/>
    <cellStyle name="Normal 4 6 2 7 4" xfId="11530" xr:uid="{421DDFCC-CF70-457B-9B25-46E86694AECE}"/>
    <cellStyle name="Normal 4 6 2 8" xfId="2551" xr:uid="{00000000-0005-0000-0000-000050160000}"/>
    <cellStyle name="Normal 4 6 2 8 2" xfId="6834" xr:uid="{00000000-0005-0000-0000-000051160000}"/>
    <cellStyle name="Normal 4 6 2 8 2 2" xfId="16160" xr:uid="{3D61D965-F2E4-45ED-9E73-7F37872B9DA2}"/>
    <cellStyle name="Normal 4 6 2 8 3" xfId="11943" xr:uid="{9AF82E29-667F-4389-8DE9-90D54C429736}"/>
    <cellStyle name="Normal 4 6 2 9" xfId="4769" xr:uid="{00000000-0005-0000-0000-000052160000}"/>
    <cellStyle name="Normal 4 6 2 9 2" xfId="14095" xr:uid="{FE855C7F-DD92-4C4B-B761-DD4DE797C10C}"/>
    <cellStyle name="Normal 4 6 3" xfId="400" xr:uid="{00000000-0005-0000-0000-000053160000}"/>
    <cellStyle name="Normal 4 6 3 10" xfId="9882" xr:uid="{6234B878-1787-4468-A77F-6D4D2D40558E}"/>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8094C969-7D53-430D-A421-FC7A5EA85585}"/>
    <cellStyle name="Normal 4 6 3 2 2 2 3" xfId="12441" xr:uid="{0DA79EF0-725C-48A7-9D72-A2E62786FA57}"/>
    <cellStyle name="Normal 4 6 3 2 2 3" xfId="5187" xr:uid="{00000000-0005-0000-0000-000058160000}"/>
    <cellStyle name="Normal 4 6 3 2 2 3 2" xfId="14513" xr:uid="{048F4F6C-A502-4B60-A937-F5FE2EB990CD}"/>
    <cellStyle name="Normal 4 6 3 2 2 4" xfId="9507" xr:uid="{63E4C3EA-8BE6-4CDE-9E44-1D64049D4CF5}"/>
    <cellStyle name="Normal 4 6 3 2 2 5" xfId="10296" xr:uid="{C8070F72-8FBE-4A0E-B9AD-5A39D9327D17}"/>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32B3859F-9C5F-4A1D-BA6B-4A96EF88A100}"/>
    <cellStyle name="Normal 4 6 3 2 3 2 3" xfId="12854" xr:uid="{B6E31E65-C28D-44A7-858B-20612585B787}"/>
    <cellStyle name="Normal 4 6 3 2 3 3" xfId="5600" xr:uid="{00000000-0005-0000-0000-00005C160000}"/>
    <cellStyle name="Normal 4 6 3 2 3 3 2" xfId="14926" xr:uid="{4980375A-42DC-4F23-90D2-D5B414C471C1}"/>
    <cellStyle name="Normal 4 6 3 2 3 4" xfId="10709" xr:uid="{4FB76A85-30B4-4463-9D6E-9513118AD686}"/>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C243977D-55B1-48A8-B072-259D6F9D1264}"/>
    <cellStyle name="Normal 4 6 3 2 4 2 3" xfId="13267" xr:uid="{327D8211-169F-4068-9329-4F4285F9E012}"/>
    <cellStyle name="Normal 4 6 3 2 4 3" xfId="6013" xr:uid="{00000000-0005-0000-0000-000060160000}"/>
    <cellStyle name="Normal 4 6 3 2 4 3 2" xfId="15339" xr:uid="{37197318-96AC-4110-A0BD-6E33E0D4351F}"/>
    <cellStyle name="Normal 4 6 3 2 4 4" xfId="11122" xr:uid="{C1C2D605-8257-4F11-AED3-1C3C55AFAFB9}"/>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BF27F4D4-8F8B-4B4D-908B-A11A2CD38B79}"/>
    <cellStyle name="Normal 4 6 3 2 5 2 3" xfId="13680" xr:uid="{4A9E4E4A-14B7-4EB8-ACF9-89210CC2798D}"/>
    <cellStyle name="Normal 4 6 3 2 5 3" xfId="6426" xr:uid="{00000000-0005-0000-0000-000064160000}"/>
    <cellStyle name="Normal 4 6 3 2 5 3 2" xfId="15752" xr:uid="{477EB328-8E10-4A9F-973E-CBD47F4F7B7C}"/>
    <cellStyle name="Normal 4 6 3 2 5 4" xfId="11535" xr:uid="{99C6075A-331E-4D98-ABC6-E8A46BE2FCB2}"/>
    <cellStyle name="Normal 4 6 3 2 6" xfId="2556" xr:uid="{00000000-0005-0000-0000-000065160000}"/>
    <cellStyle name="Normal 4 6 3 2 6 2" xfId="6839" xr:uid="{00000000-0005-0000-0000-000066160000}"/>
    <cellStyle name="Normal 4 6 3 2 6 2 2" xfId="16165" xr:uid="{4F7A722A-3B20-4144-852B-61662785BD4C}"/>
    <cellStyle name="Normal 4 6 3 2 6 3" xfId="11948" xr:uid="{649DF217-BEFE-48B6-89C6-BEE91F20EC28}"/>
    <cellStyle name="Normal 4 6 3 2 7" xfId="4774" xr:uid="{00000000-0005-0000-0000-000067160000}"/>
    <cellStyle name="Normal 4 6 3 2 7 2" xfId="14100" xr:uid="{C84C186C-8CF9-40C2-8387-E9C8B22F2426}"/>
    <cellStyle name="Normal 4 6 3 2 8" xfId="9082" xr:uid="{B272D1AE-3713-4AD0-AE3F-D1A7344AD432}"/>
    <cellStyle name="Normal 4 6 3 2 9" xfId="9883" xr:uid="{19537FC0-7A3D-4A63-B5C5-5666A9F85355}"/>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6E4D7984-C2A1-435B-BA2F-55A3CA340B0C}"/>
    <cellStyle name="Normal 4 6 3 3 2 3" xfId="12440" xr:uid="{F25EE1CA-B813-454C-AA3D-EE00097CC113}"/>
    <cellStyle name="Normal 4 6 3 3 3" xfId="5186" xr:uid="{00000000-0005-0000-0000-00006B160000}"/>
    <cellStyle name="Normal 4 6 3 3 3 2" xfId="14512" xr:uid="{B9CB61A2-AA72-43CC-A161-D46325F593B3}"/>
    <cellStyle name="Normal 4 6 3 3 4" xfId="9300" xr:uid="{955A2E97-C871-4115-A4F5-A642AE2D2C4B}"/>
    <cellStyle name="Normal 4 6 3 3 5" xfId="10295" xr:uid="{1AC9EE8E-3F87-4490-9055-46EDF3DB37EF}"/>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1E09ABC1-443D-41BC-BB97-76C079E5B8C0}"/>
    <cellStyle name="Normal 4 6 3 4 2 3" xfId="12853" xr:uid="{CB8AF44D-6378-4E25-8805-2457E1FDD6F8}"/>
    <cellStyle name="Normal 4 6 3 4 3" xfId="5599" xr:uid="{00000000-0005-0000-0000-00006F160000}"/>
    <cellStyle name="Normal 4 6 3 4 3 2" xfId="14925" xr:uid="{A6D5AC61-D3B0-4E08-91C5-0004626F5553}"/>
    <cellStyle name="Normal 4 6 3 4 4" xfId="10708" xr:uid="{01030C76-5974-4710-8597-DAA1A797CB67}"/>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D3DDE85A-A7D7-49E0-B56C-8A623A452BAA}"/>
    <cellStyle name="Normal 4 6 3 5 2 3" xfId="13266" xr:uid="{7A8106C4-70E0-45DF-83B0-7243DEC8E6EE}"/>
    <cellStyle name="Normal 4 6 3 5 3" xfId="6012" xr:uid="{00000000-0005-0000-0000-000073160000}"/>
    <cellStyle name="Normal 4 6 3 5 3 2" xfId="15338" xr:uid="{4F2BD4C7-D80B-4F27-BCE7-E689DF39B23F}"/>
    <cellStyle name="Normal 4 6 3 5 4" xfId="11121" xr:uid="{0DC615DD-30D3-4C21-A1F2-E8DC19E3BDFA}"/>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258E9516-6FDE-4340-B464-DBE56DC1854E}"/>
    <cellStyle name="Normal 4 6 3 6 2 3" xfId="13679" xr:uid="{855FC7F7-65D3-4B19-82BF-23C1508A1D57}"/>
    <cellStyle name="Normal 4 6 3 6 3" xfId="6425" xr:uid="{00000000-0005-0000-0000-000077160000}"/>
    <cellStyle name="Normal 4 6 3 6 3 2" xfId="15751" xr:uid="{257C1B50-1E3D-4655-B61E-B305CF4A4366}"/>
    <cellStyle name="Normal 4 6 3 6 4" xfId="11534" xr:uid="{BA71787F-0C86-4C1C-ACAC-CB4DE73B9133}"/>
    <cellStyle name="Normal 4 6 3 7" xfId="2555" xr:uid="{00000000-0005-0000-0000-000078160000}"/>
    <cellStyle name="Normal 4 6 3 7 2" xfId="6838" xr:uid="{00000000-0005-0000-0000-000079160000}"/>
    <cellStyle name="Normal 4 6 3 7 2 2" xfId="16164" xr:uid="{FC74C403-6A9C-4B5C-8663-D0E040EE4A59}"/>
    <cellStyle name="Normal 4 6 3 7 3" xfId="11947" xr:uid="{07FADDE0-F0FD-454A-8415-8761B04AEA57}"/>
    <cellStyle name="Normal 4 6 3 8" xfId="4773" xr:uid="{00000000-0005-0000-0000-00007A160000}"/>
    <cellStyle name="Normal 4 6 3 8 2" xfId="14099" xr:uid="{7E792993-F296-409D-8CDB-20A36E6C6687}"/>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26FDF56E-89C5-48A8-AA92-105FCA19A7B1}"/>
    <cellStyle name="Normal 4 6 4 2 2 3" xfId="12442" xr:uid="{BB1FDD91-9BFC-486B-A549-ADE0D92C3285}"/>
    <cellStyle name="Normal 4 6 4 2 3" xfId="5188" xr:uid="{00000000-0005-0000-0000-00007F160000}"/>
    <cellStyle name="Normal 4 6 4 2 3 2" xfId="14514" xr:uid="{32929856-BD58-4C96-BECB-B9A499DAE59D}"/>
    <cellStyle name="Normal 4 6 4 2 4" xfId="9404" xr:uid="{D1BAB6D6-35EF-4C34-91EA-2EB17352CDF9}"/>
    <cellStyle name="Normal 4 6 4 2 5" xfId="10297" xr:uid="{C5A0F8BF-7A67-41CF-88B9-F50504281B8B}"/>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DEC500C0-D053-4E07-8ED2-143C8477FA8B}"/>
    <cellStyle name="Normal 4 6 4 3 2 3" xfId="12855" xr:uid="{B56ADCF2-E564-408A-B7D3-6D07E0951503}"/>
    <cellStyle name="Normal 4 6 4 3 3" xfId="5601" xr:uid="{00000000-0005-0000-0000-000083160000}"/>
    <cellStyle name="Normal 4 6 4 3 3 2" xfId="14927" xr:uid="{E2170C4F-991E-41F0-B923-BE706FB889FE}"/>
    <cellStyle name="Normal 4 6 4 3 4" xfId="10710" xr:uid="{DC6BE6D7-3D35-4625-81F6-2F6DE0F0D3BF}"/>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45944BC2-05F2-4F5A-9862-E6CC64DDEE5A}"/>
    <cellStyle name="Normal 4 6 4 4 2 3" xfId="13268" xr:uid="{6E5C630A-FDF3-4138-A708-E3E84CDA2757}"/>
    <cellStyle name="Normal 4 6 4 4 3" xfId="6014" xr:uid="{00000000-0005-0000-0000-000087160000}"/>
    <cellStyle name="Normal 4 6 4 4 3 2" xfId="15340" xr:uid="{16E308B8-00C7-47A6-BA1E-8204728235D1}"/>
    <cellStyle name="Normal 4 6 4 4 4" xfId="11123" xr:uid="{A857A2C0-5A61-4B89-B182-B36E48CC72FF}"/>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D4496706-6B21-46EB-B78E-3549A3B6C29C}"/>
    <cellStyle name="Normal 4 6 4 5 2 3" xfId="13681" xr:uid="{9C0B4C58-67BC-4D7E-A50C-21B1FDFCD3C9}"/>
    <cellStyle name="Normal 4 6 4 5 3" xfId="6427" xr:uid="{00000000-0005-0000-0000-00008B160000}"/>
    <cellStyle name="Normal 4 6 4 5 3 2" xfId="15753" xr:uid="{38C8C23F-7069-4CDB-BD05-9C49FCB44881}"/>
    <cellStyle name="Normal 4 6 4 5 4" xfId="11536" xr:uid="{87E09518-9C5D-4C77-B515-4D8157345BB9}"/>
    <cellStyle name="Normal 4 6 4 6" xfId="2557" xr:uid="{00000000-0005-0000-0000-00008C160000}"/>
    <cellStyle name="Normal 4 6 4 6 2" xfId="6840" xr:uid="{00000000-0005-0000-0000-00008D160000}"/>
    <cellStyle name="Normal 4 6 4 6 2 2" xfId="16166" xr:uid="{7DD79A14-6001-43A7-8C8E-1BE0DBE41C18}"/>
    <cellStyle name="Normal 4 6 4 6 3" xfId="11949" xr:uid="{33BEF4F9-B3BA-43DB-9FCF-123BE9534F33}"/>
    <cellStyle name="Normal 4 6 4 7" xfId="4775" xr:uid="{00000000-0005-0000-0000-00008E160000}"/>
    <cellStyle name="Normal 4 6 4 7 2" xfId="14101" xr:uid="{701CF57B-E60F-427D-B517-1B55140AA768}"/>
    <cellStyle name="Normal 4 6 4 8" xfId="8979" xr:uid="{358D1440-F461-4509-8416-8F78F7D13FF4}"/>
    <cellStyle name="Normal 4 6 4 9" xfId="9884" xr:uid="{E01DFBE8-94C9-4358-ABC9-449A3F3BD7E6}"/>
    <cellStyle name="Normal 4 6 5" xfId="869" xr:uid="{00000000-0005-0000-0000-00008F160000}"/>
    <cellStyle name="Normal 4 6 5 2" xfId="3104" xr:uid="{00000000-0005-0000-0000-000090160000}"/>
    <cellStyle name="Normal 4 6 5 2 2" xfId="7326" xr:uid="{00000000-0005-0000-0000-000091160000}"/>
    <cellStyle name="Normal 4 6 5 2 2 2" xfId="16652" xr:uid="{9C379227-F79A-4DB8-B56F-8B175D68A20E}"/>
    <cellStyle name="Normal 4 6 5 2 3" xfId="12435" xr:uid="{A1F3B651-EB57-4EB6-B2B9-5CC4D682DD71}"/>
    <cellStyle name="Normal 4 6 5 3" xfId="5181" xr:uid="{00000000-0005-0000-0000-000092160000}"/>
    <cellStyle name="Normal 4 6 5 3 2" xfId="14507" xr:uid="{EDF25886-1FE2-4960-B256-D2AA678D919D}"/>
    <cellStyle name="Normal 4 6 5 4" xfId="9196" xr:uid="{8DF5D81E-BEC3-4373-A99C-2D9CDEEBBA3C}"/>
    <cellStyle name="Normal 4 6 5 5" xfId="10290" xr:uid="{87FBF819-BDD0-48F2-9A88-47C67CA0B430}"/>
    <cellStyle name="Normal 4 6 6" xfId="1287" xr:uid="{00000000-0005-0000-0000-000093160000}"/>
    <cellStyle name="Normal 4 6 6 2" xfId="3517" xr:uid="{00000000-0005-0000-0000-000094160000}"/>
    <cellStyle name="Normal 4 6 6 2 2" xfId="7739" xr:uid="{00000000-0005-0000-0000-000095160000}"/>
    <cellStyle name="Normal 4 6 6 2 2 2" xfId="17065" xr:uid="{B79F0676-2860-46B3-A204-0E80507A8629}"/>
    <cellStyle name="Normal 4 6 6 2 3" xfId="12848" xr:uid="{7C058B8F-7309-4343-B071-A7B9B33F1DCD}"/>
    <cellStyle name="Normal 4 6 6 3" xfId="5594" xr:uid="{00000000-0005-0000-0000-000096160000}"/>
    <cellStyle name="Normal 4 6 6 3 2" xfId="14920" xr:uid="{6F5AE33A-68AA-4D2D-B758-0586D92E7800}"/>
    <cellStyle name="Normal 4 6 6 4" xfId="10703" xr:uid="{9E54F4DE-5D30-496B-8AA6-D860C78664D6}"/>
    <cellStyle name="Normal 4 6 7" xfId="1700" xr:uid="{00000000-0005-0000-0000-000097160000}"/>
    <cellStyle name="Normal 4 6 7 2" xfId="3930" xr:uid="{00000000-0005-0000-0000-000098160000}"/>
    <cellStyle name="Normal 4 6 7 2 2" xfId="8152" xr:uid="{00000000-0005-0000-0000-000099160000}"/>
    <cellStyle name="Normal 4 6 7 2 2 2" xfId="17478" xr:uid="{EB978560-7DB4-4CF5-87DA-B6D197806756}"/>
    <cellStyle name="Normal 4 6 7 2 3" xfId="13261" xr:uid="{08646572-0A75-4014-A510-7D8913B03D16}"/>
    <cellStyle name="Normal 4 6 7 3" xfId="6007" xr:uid="{00000000-0005-0000-0000-00009A160000}"/>
    <cellStyle name="Normal 4 6 7 3 2" xfId="15333" xr:uid="{509B5609-B1F0-4078-830E-0AFD0314D9B8}"/>
    <cellStyle name="Normal 4 6 7 4" xfId="11116" xr:uid="{2545B786-A593-43A6-AD47-DF9E03DDBF8D}"/>
    <cellStyle name="Normal 4 6 8" xfId="2114" xr:uid="{00000000-0005-0000-0000-00009B160000}"/>
    <cellStyle name="Normal 4 6 8 2" xfId="4343" xr:uid="{00000000-0005-0000-0000-00009C160000}"/>
    <cellStyle name="Normal 4 6 8 2 2" xfId="8565" xr:uid="{00000000-0005-0000-0000-00009D160000}"/>
    <cellStyle name="Normal 4 6 8 2 2 2" xfId="17891" xr:uid="{E7DA65A9-5F58-450C-8713-A4B139D20F03}"/>
    <cellStyle name="Normal 4 6 8 2 3" xfId="13674" xr:uid="{6EAAF86E-2F0D-41E5-ACC2-685736560133}"/>
    <cellStyle name="Normal 4 6 8 3" xfId="6420" xr:uid="{00000000-0005-0000-0000-00009E160000}"/>
    <cellStyle name="Normal 4 6 8 3 2" xfId="15746" xr:uid="{2444F569-F526-4C40-A688-068E366EE154}"/>
    <cellStyle name="Normal 4 6 8 4" xfId="11529" xr:uid="{B82C674E-B211-486A-A646-7B1439A4ECC2}"/>
    <cellStyle name="Normal 4 6 9" xfId="2550" xr:uid="{00000000-0005-0000-0000-00009F160000}"/>
    <cellStyle name="Normal 4 6 9 2" xfId="6833" xr:uid="{00000000-0005-0000-0000-0000A0160000}"/>
    <cellStyle name="Normal 4 6 9 2 2" xfId="16159" xr:uid="{D294DAD9-AA19-47B6-ACB4-A43AF6389C65}"/>
    <cellStyle name="Normal 4 6 9 3" xfId="11942" xr:uid="{E2B0B360-4AE9-4DB8-9B81-0880D298959B}"/>
    <cellStyle name="Normal 4 7" xfId="403" xr:uid="{00000000-0005-0000-0000-0000A1160000}"/>
    <cellStyle name="Normal 4 7 10" xfId="9885" xr:uid="{41E4B8E5-F35D-49F7-8A85-5802FBAD3442}"/>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7BF9FA9D-5B94-4C10-A838-0F496D1FDCD5}"/>
    <cellStyle name="Normal 4 7 2 2 2 3" xfId="12444" xr:uid="{9D6063B6-1CFB-4008-9BD3-FBD5EB3C8B02}"/>
    <cellStyle name="Normal 4 7 2 2 3" xfId="5190" xr:uid="{00000000-0005-0000-0000-0000A6160000}"/>
    <cellStyle name="Normal 4 7 2 2 3 2" xfId="14516" xr:uid="{6D07686A-910F-46C8-BF39-7E36CA01EB39}"/>
    <cellStyle name="Normal 4 7 2 2 4" xfId="9475" xr:uid="{1E309EF6-7D7C-4A4D-B2F1-E00D0CF6E167}"/>
    <cellStyle name="Normal 4 7 2 2 5" xfId="10299" xr:uid="{07981080-F2ED-4244-B105-EFA2FAB57637}"/>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6A57CEB2-726C-4A30-B1F3-FE5D2DA3E26C}"/>
    <cellStyle name="Normal 4 7 2 3 2 3" xfId="12857" xr:uid="{CC0E74BA-45F0-4447-8004-A8248474E49C}"/>
    <cellStyle name="Normal 4 7 2 3 3" xfId="5603" xr:uid="{00000000-0005-0000-0000-0000AA160000}"/>
    <cellStyle name="Normal 4 7 2 3 3 2" xfId="14929" xr:uid="{D47DD217-1888-49D5-8F6D-37B77F6CF87A}"/>
    <cellStyle name="Normal 4 7 2 3 4" xfId="10712" xr:uid="{01C5034C-086A-4F52-9910-BF87C8CA5A05}"/>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34BCE261-2009-4E56-A72A-90666DB186A3}"/>
    <cellStyle name="Normal 4 7 2 4 2 3" xfId="13270" xr:uid="{2139BD41-CD76-40A3-8C87-BE90C863B71F}"/>
    <cellStyle name="Normal 4 7 2 4 3" xfId="6016" xr:uid="{00000000-0005-0000-0000-0000AE160000}"/>
    <cellStyle name="Normal 4 7 2 4 3 2" xfId="15342" xr:uid="{A29C17C7-9A2D-4BA0-BE07-B910BC2E7BB7}"/>
    <cellStyle name="Normal 4 7 2 4 4" xfId="11125" xr:uid="{8EFEDDE1-89C9-4E60-930D-9BC9BA567C84}"/>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1A11B60D-FF5C-4EF9-BA88-F3C5160F2D0F}"/>
    <cellStyle name="Normal 4 7 2 5 2 3" xfId="13683" xr:uid="{5D6CB0F7-3D43-40F3-86F4-35670E174675}"/>
    <cellStyle name="Normal 4 7 2 5 3" xfId="6429" xr:uid="{00000000-0005-0000-0000-0000B2160000}"/>
    <cellStyle name="Normal 4 7 2 5 3 2" xfId="15755" xr:uid="{5992C18B-ABFA-4F2C-A2AD-2006177C6397}"/>
    <cellStyle name="Normal 4 7 2 5 4" xfId="11538" xr:uid="{9E069989-3831-408B-9358-7050346A0C94}"/>
    <cellStyle name="Normal 4 7 2 6" xfId="2559" xr:uid="{00000000-0005-0000-0000-0000B3160000}"/>
    <cellStyle name="Normal 4 7 2 6 2" xfId="6842" xr:uid="{00000000-0005-0000-0000-0000B4160000}"/>
    <cellStyle name="Normal 4 7 2 6 2 2" xfId="16168" xr:uid="{2BBD70DA-092E-4AB5-8926-9E249E7DEEAA}"/>
    <cellStyle name="Normal 4 7 2 6 3" xfId="11951" xr:uid="{C0A3A547-277C-4648-97D5-07F0ED69DBE4}"/>
    <cellStyle name="Normal 4 7 2 7" xfId="4777" xr:uid="{00000000-0005-0000-0000-0000B5160000}"/>
    <cellStyle name="Normal 4 7 2 7 2" xfId="14103" xr:uid="{575ADFED-F493-40BC-8507-2164C21616FF}"/>
    <cellStyle name="Normal 4 7 2 8" xfId="9050" xr:uid="{C18A0BCD-6C40-47C4-AC72-E06914F008F6}"/>
    <cellStyle name="Normal 4 7 2 9" xfId="9886" xr:uid="{17FCF165-BAC1-4549-ADFA-75C03B8679BD}"/>
    <cellStyle name="Normal 4 7 3" xfId="877" xr:uid="{00000000-0005-0000-0000-0000B6160000}"/>
    <cellStyle name="Normal 4 7 3 2" xfId="3112" xr:uid="{00000000-0005-0000-0000-0000B7160000}"/>
    <cellStyle name="Normal 4 7 3 2 2" xfId="7334" xr:uid="{00000000-0005-0000-0000-0000B8160000}"/>
    <cellStyle name="Normal 4 7 3 2 2 2" xfId="16660" xr:uid="{5FEC92F1-4055-4921-AD68-A06EBF2635C9}"/>
    <cellStyle name="Normal 4 7 3 2 3" xfId="12443" xr:uid="{169F0F44-D07E-4EE4-9635-7924D4A1AC63}"/>
    <cellStyle name="Normal 4 7 3 3" xfId="5189" xr:uid="{00000000-0005-0000-0000-0000B9160000}"/>
    <cellStyle name="Normal 4 7 3 3 2" xfId="14515" xr:uid="{2216264C-F001-4EF1-A2E3-0916F4BD107C}"/>
    <cellStyle name="Normal 4 7 3 4" xfId="9268" xr:uid="{83DA99B2-5D77-4110-AEB9-304D3ECEF3EB}"/>
    <cellStyle name="Normal 4 7 3 5" xfId="10298" xr:uid="{474023A8-CE56-4C0E-B6B2-23687B0B9F86}"/>
    <cellStyle name="Normal 4 7 4" xfId="1295" xr:uid="{00000000-0005-0000-0000-0000BA160000}"/>
    <cellStyle name="Normal 4 7 4 2" xfId="3525" xr:uid="{00000000-0005-0000-0000-0000BB160000}"/>
    <cellStyle name="Normal 4 7 4 2 2" xfId="7747" xr:uid="{00000000-0005-0000-0000-0000BC160000}"/>
    <cellStyle name="Normal 4 7 4 2 2 2" xfId="17073" xr:uid="{E6DE1624-BA6C-42B9-BB29-8EEFBA6F30F3}"/>
    <cellStyle name="Normal 4 7 4 2 3" xfId="12856" xr:uid="{75AAC7CA-6B96-4ED9-A4AC-E6380807247F}"/>
    <cellStyle name="Normal 4 7 4 3" xfId="5602" xr:uid="{00000000-0005-0000-0000-0000BD160000}"/>
    <cellStyle name="Normal 4 7 4 3 2" xfId="14928" xr:uid="{36871409-D20F-48C5-8E1D-12359CC27AC0}"/>
    <cellStyle name="Normal 4 7 4 4" xfId="10711" xr:uid="{A48D9F56-2888-4095-8667-C72C689ED5BB}"/>
    <cellStyle name="Normal 4 7 5" xfId="1708" xr:uid="{00000000-0005-0000-0000-0000BE160000}"/>
    <cellStyle name="Normal 4 7 5 2" xfId="3938" xr:uid="{00000000-0005-0000-0000-0000BF160000}"/>
    <cellStyle name="Normal 4 7 5 2 2" xfId="8160" xr:uid="{00000000-0005-0000-0000-0000C0160000}"/>
    <cellStyle name="Normal 4 7 5 2 2 2" xfId="17486" xr:uid="{582B7DD2-B702-4D2D-89FF-46C67C7005C8}"/>
    <cellStyle name="Normal 4 7 5 2 3" xfId="13269" xr:uid="{CC8FA8D6-8C5A-4B88-9B20-239AB3CD6C31}"/>
    <cellStyle name="Normal 4 7 5 3" xfId="6015" xr:uid="{00000000-0005-0000-0000-0000C1160000}"/>
    <cellStyle name="Normal 4 7 5 3 2" xfId="15341" xr:uid="{D4C339F7-1AB7-4FD4-896B-131EE58CE24E}"/>
    <cellStyle name="Normal 4 7 5 4" xfId="11124" xr:uid="{3BF2D925-F0B8-445F-A685-0C4A6659A5F2}"/>
    <cellStyle name="Normal 4 7 6" xfId="2122" xr:uid="{00000000-0005-0000-0000-0000C2160000}"/>
    <cellStyle name="Normal 4 7 6 2" xfId="4351" xr:uid="{00000000-0005-0000-0000-0000C3160000}"/>
    <cellStyle name="Normal 4 7 6 2 2" xfId="8573" xr:uid="{00000000-0005-0000-0000-0000C4160000}"/>
    <cellStyle name="Normal 4 7 6 2 2 2" xfId="17899" xr:uid="{282303F6-49F1-4641-8555-DC9753484FF4}"/>
    <cellStyle name="Normal 4 7 6 2 3" xfId="13682" xr:uid="{3489D176-819F-41BF-BD70-76FCEDA69325}"/>
    <cellStyle name="Normal 4 7 6 3" xfId="6428" xr:uid="{00000000-0005-0000-0000-0000C5160000}"/>
    <cellStyle name="Normal 4 7 6 3 2" xfId="15754" xr:uid="{46894B68-1B2B-4124-8850-F8E1C6C3FE98}"/>
    <cellStyle name="Normal 4 7 6 4" xfId="11537" xr:uid="{2E51E8D4-3602-40B0-B676-EB5B15208B3B}"/>
    <cellStyle name="Normal 4 7 7" xfId="2558" xr:uid="{00000000-0005-0000-0000-0000C6160000}"/>
    <cellStyle name="Normal 4 7 7 2" xfId="6841" xr:uid="{00000000-0005-0000-0000-0000C7160000}"/>
    <cellStyle name="Normal 4 7 7 2 2" xfId="16167" xr:uid="{629A631D-C0CA-4641-97FF-A706627EACA4}"/>
    <cellStyle name="Normal 4 7 7 3" xfId="11950" xr:uid="{C8FA8EDC-8277-437D-9E9A-39F5877CB39A}"/>
    <cellStyle name="Normal 4 7 8" xfId="4776" xr:uid="{00000000-0005-0000-0000-0000C8160000}"/>
    <cellStyle name="Normal 4 7 8 2" xfId="14102" xr:uid="{FA119D30-D31E-462F-8345-4E33F6CF6441}"/>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62" xr:uid="{83ABD6F1-908D-405E-AA98-DC97DCA89EEE}"/>
    <cellStyle name="Normal 4 8 2 2 3" xfId="12445" xr:uid="{9C7AD297-006F-4868-8E39-3EAD140EDEE5}"/>
    <cellStyle name="Normal 4 8 2 3" xfId="5191" xr:uid="{00000000-0005-0000-0000-0000CD160000}"/>
    <cellStyle name="Normal 4 8 2 3 2" xfId="14517" xr:uid="{77939D4F-6EE9-4B87-B028-5A2DC6226A4B}"/>
    <cellStyle name="Normal 4 8 2 4" xfId="9384" xr:uid="{6351F1DA-E485-4044-8429-C0AE76E79EEE}"/>
    <cellStyle name="Normal 4 8 2 5" xfId="10300" xr:uid="{1771B548-3F3F-4A7D-B5C8-ED55DD777543}"/>
    <cellStyle name="Normal 4 8 3" xfId="1297" xr:uid="{00000000-0005-0000-0000-0000CE160000}"/>
    <cellStyle name="Normal 4 8 3 2" xfId="3527" xr:uid="{00000000-0005-0000-0000-0000CF160000}"/>
    <cellStyle name="Normal 4 8 3 2 2" xfId="7749" xr:uid="{00000000-0005-0000-0000-0000D0160000}"/>
    <cellStyle name="Normal 4 8 3 2 2 2" xfId="17075" xr:uid="{90BF45F5-00FC-4DF6-A0CE-FC14D2985F61}"/>
    <cellStyle name="Normal 4 8 3 2 3" xfId="12858" xr:uid="{CDE8A284-C4D6-406C-B98D-C14BDF612DA9}"/>
    <cellStyle name="Normal 4 8 3 3" xfId="5604" xr:uid="{00000000-0005-0000-0000-0000D1160000}"/>
    <cellStyle name="Normal 4 8 3 3 2" xfId="14930" xr:uid="{49DF6EE8-52A3-4325-9E5C-1A0303C007F8}"/>
    <cellStyle name="Normal 4 8 3 4" xfId="10713" xr:uid="{23B4D50D-D71E-4045-980E-9E2F1F7D0D05}"/>
    <cellStyle name="Normal 4 8 4" xfId="1710" xr:uid="{00000000-0005-0000-0000-0000D2160000}"/>
    <cellStyle name="Normal 4 8 4 2" xfId="3940" xr:uid="{00000000-0005-0000-0000-0000D3160000}"/>
    <cellStyle name="Normal 4 8 4 2 2" xfId="8162" xr:uid="{00000000-0005-0000-0000-0000D4160000}"/>
    <cellStyle name="Normal 4 8 4 2 2 2" xfId="17488" xr:uid="{045AD2E2-1D3F-42C5-AB84-D1F0FBABBFAE}"/>
    <cellStyle name="Normal 4 8 4 2 3" xfId="13271" xr:uid="{8A502076-C517-4307-AF35-2B4B418CA071}"/>
    <cellStyle name="Normal 4 8 4 3" xfId="6017" xr:uid="{00000000-0005-0000-0000-0000D5160000}"/>
    <cellStyle name="Normal 4 8 4 3 2" xfId="15343" xr:uid="{148FE0D4-0C87-44C0-B218-499EDDF8829C}"/>
    <cellStyle name="Normal 4 8 4 4" xfId="11126" xr:uid="{19FDBF1B-ABF1-48B6-993B-9C7A985288B2}"/>
    <cellStyle name="Normal 4 8 5" xfId="2124" xr:uid="{00000000-0005-0000-0000-0000D6160000}"/>
    <cellStyle name="Normal 4 8 5 2" xfId="4353" xr:uid="{00000000-0005-0000-0000-0000D7160000}"/>
    <cellStyle name="Normal 4 8 5 2 2" xfId="8575" xr:uid="{00000000-0005-0000-0000-0000D8160000}"/>
    <cellStyle name="Normal 4 8 5 2 2 2" xfId="17901" xr:uid="{28D6FAC5-2994-46B6-A89D-2AC337B95EC3}"/>
    <cellStyle name="Normal 4 8 5 2 3" xfId="13684" xr:uid="{3D1A0988-E3B5-4A99-A4A2-018D7E954C85}"/>
    <cellStyle name="Normal 4 8 5 3" xfId="6430" xr:uid="{00000000-0005-0000-0000-0000D9160000}"/>
    <cellStyle name="Normal 4 8 5 3 2" xfId="15756" xr:uid="{F0E9BF7E-074C-4C89-8287-8DEC5E1AF0E5}"/>
    <cellStyle name="Normal 4 8 5 4" xfId="11539" xr:uid="{953BC467-29A2-4855-9A89-3BB1748314B8}"/>
    <cellStyle name="Normal 4 8 6" xfId="2560" xr:uid="{00000000-0005-0000-0000-0000DA160000}"/>
    <cellStyle name="Normal 4 8 6 2" xfId="6843" xr:uid="{00000000-0005-0000-0000-0000DB160000}"/>
    <cellStyle name="Normal 4 8 6 2 2" xfId="16169" xr:uid="{EE60BA6D-24EF-43ED-B0D5-F02E2C8792F3}"/>
    <cellStyle name="Normal 4 8 6 3" xfId="11952" xr:uid="{F979048E-E066-408B-94E4-D78BD4A4B5DB}"/>
    <cellStyle name="Normal 4 8 7" xfId="4778" xr:uid="{00000000-0005-0000-0000-0000DC160000}"/>
    <cellStyle name="Normal 4 8 7 2" xfId="14104" xr:uid="{A2128D1A-0845-46B5-BD0B-00B711E8C463}"/>
    <cellStyle name="Normal 4 8 8" xfId="8959" xr:uid="{E3216EF3-66EB-48FF-967C-A258B3C3F4FF}"/>
    <cellStyle name="Normal 4 8 9" xfId="9887" xr:uid="{C3182859-4130-409B-A82C-00A6938FF4A1}"/>
    <cellStyle name="Normal 4 9" xfId="4715" xr:uid="{00000000-0005-0000-0000-0000DD160000}"/>
    <cellStyle name="Normal 4 9 2" xfId="9162" xr:uid="{BC355FAB-4557-4712-A03F-EB5522B29E6A}"/>
    <cellStyle name="Normal 4 9 3" xfId="14041" xr:uid="{BBBB115B-4620-429E-9A11-1DC57049C1E8}"/>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6657DDBF-61D3-48E2-89A0-CA8DB865F0F3}"/>
    <cellStyle name="Normal 5 10 2 3" xfId="13272" xr:uid="{DC296299-F5B2-49B6-9B02-045F2FB72FF2}"/>
    <cellStyle name="Normal 5 10 3" xfId="6018" xr:uid="{00000000-0005-0000-0000-0000E2160000}"/>
    <cellStyle name="Normal 5 10 3 2" xfId="15344" xr:uid="{43F268B7-23F6-42C1-B1F4-B0F50B745F16}"/>
    <cellStyle name="Normal 5 10 4" xfId="11127" xr:uid="{064C3FA8-5D47-43C5-B91E-1B58EC29ED01}"/>
    <cellStyle name="Normal 5 11" xfId="2125" xr:uid="{00000000-0005-0000-0000-0000E3160000}"/>
    <cellStyle name="Normal 5 11 2" xfId="4354" xr:uid="{00000000-0005-0000-0000-0000E4160000}"/>
    <cellStyle name="Normal 5 11 2 2" xfId="8576" xr:uid="{00000000-0005-0000-0000-0000E5160000}"/>
    <cellStyle name="Normal 5 11 2 2 2" xfId="17902" xr:uid="{42B7A828-C754-42E6-AD3B-1095AACA3A5A}"/>
    <cellStyle name="Normal 5 11 2 3" xfId="13685" xr:uid="{90311A17-B928-4360-901F-81A5756948A8}"/>
    <cellStyle name="Normal 5 11 3" xfId="6431" xr:uid="{00000000-0005-0000-0000-0000E6160000}"/>
    <cellStyle name="Normal 5 11 3 2" xfId="15757" xr:uid="{5ED06DF1-9505-45A6-ADCE-74C19281B481}"/>
    <cellStyle name="Normal 5 11 4" xfId="11540" xr:uid="{AEAE65FA-8C3F-43A5-B9F4-60DE6F807C31}"/>
    <cellStyle name="Normal 5 12" xfId="2561" xr:uid="{00000000-0005-0000-0000-0000E7160000}"/>
    <cellStyle name="Normal 5 12 2" xfId="6844" xr:uid="{00000000-0005-0000-0000-0000E8160000}"/>
    <cellStyle name="Normal 5 12 2 2" xfId="16170" xr:uid="{36AC5730-56F0-4619-8382-0942858FDA45}"/>
    <cellStyle name="Normal 5 12 3" xfId="11953" xr:uid="{208F7B11-0273-4CA4-9B57-6D225ED4F0F9}"/>
    <cellStyle name="Normal 5 13" xfId="4779" xr:uid="{00000000-0005-0000-0000-0000E9160000}"/>
    <cellStyle name="Normal 5 13 2" xfId="14105" xr:uid="{6AFF7FB8-1EBF-46BD-8263-E0DD673526CE}"/>
    <cellStyle name="Normal 5 14" xfId="8741" xr:uid="{6467398C-BC57-47BF-AF01-9B3356F8431F}"/>
    <cellStyle name="Normal 5 15" xfId="9888" xr:uid="{A99E2438-BDB2-4BFA-ABC1-6F53BD781674}"/>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BA64A7EB-0C8B-43F5-9D30-1C3E3ADF08BF}"/>
    <cellStyle name="Normal 5 2 10 2 3" xfId="13686" xr:uid="{992F2BAA-68AD-46CA-8487-B73C79C74AB2}"/>
    <cellStyle name="Normal 5 2 10 3" xfId="6432" xr:uid="{00000000-0005-0000-0000-0000EE160000}"/>
    <cellStyle name="Normal 5 2 10 3 2" xfId="15758" xr:uid="{46414D9A-4389-4642-9CA0-8623C6004DA7}"/>
    <cellStyle name="Normal 5 2 10 4" xfId="11541" xr:uid="{B078F457-E714-45AD-9751-7C0640605328}"/>
    <cellStyle name="Normal 5 2 11" xfId="2562" xr:uid="{00000000-0005-0000-0000-0000EF160000}"/>
    <cellStyle name="Normal 5 2 11 2" xfId="6845" xr:uid="{00000000-0005-0000-0000-0000F0160000}"/>
    <cellStyle name="Normal 5 2 11 2 2" xfId="16171" xr:uid="{C475442C-6F20-4FCD-8B61-6C0B50DCD8F6}"/>
    <cellStyle name="Normal 5 2 11 3" xfId="11954" xr:uid="{11B5F6E4-E301-4A5C-AEFB-D1C03FA3505D}"/>
    <cellStyle name="Normal 5 2 12" xfId="4780" xr:uid="{00000000-0005-0000-0000-0000F1160000}"/>
    <cellStyle name="Normal 5 2 12 2" xfId="14106" xr:uid="{5A2F8B97-0F0F-40B3-8317-AC83B8D58A50}"/>
    <cellStyle name="Normal 5 2 13" xfId="8744" xr:uid="{40D5DF2B-E9DF-4D52-AAE0-3E5A94050B59}"/>
    <cellStyle name="Normal 5 2 14" xfId="9889" xr:uid="{A04BB2CE-9250-430B-87F8-4BD6BFF0F346}"/>
    <cellStyle name="Normal 5 2 2" xfId="408" xr:uid="{00000000-0005-0000-0000-0000F2160000}"/>
    <cellStyle name="Normal 5 2 2 10" xfId="2563" xr:uid="{00000000-0005-0000-0000-0000F3160000}"/>
    <cellStyle name="Normal 5 2 2 10 2" xfId="6846" xr:uid="{00000000-0005-0000-0000-0000F4160000}"/>
    <cellStyle name="Normal 5 2 2 10 2 2" xfId="16172" xr:uid="{FB54F5F0-3BFF-44FE-B083-A525DA6D16DB}"/>
    <cellStyle name="Normal 5 2 2 10 3" xfId="11955" xr:uid="{B5CDC559-97A5-49AD-8C33-599AE0FD0F53}"/>
    <cellStyle name="Normal 5 2 2 11" xfId="4781" xr:uid="{00000000-0005-0000-0000-0000F5160000}"/>
    <cellStyle name="Normal 5 2 2 11 2" xfId="14107" xr:uid="{3F9BB8D5-4BD4-4172-9930-370BE07C9F01}"/>
    <cellStyle name="Normal 5 2 2 12" xfId="8753" xr:uid="{96D04E2F-D92F-448D-9FDA-8261D8BEE094}"/>
    <cellStyle name="Normal 5 2 2 13" xfId="9890" xr:uid="{ED55A844-DCC9-4E77-A748-BDA7F7385287}"/>
    <cellStyle name="Normal 5 2 2 2" xfId="409" xr:uid="{00000000-0005-0000-0000-0000F6160000}"/>
    <cellStyle name="Normal 5 2 2 2 10" xfId="4782" xr:uid="{00000000-0005-0000-0000-0000F7160000}"/>
    <cellStyle name="Normal 5 2 2 2 10 2" xfId="14108" xr:uid="{7CFBC4D3-3C85-42A1-BF5E-535A741F063B}"/>
    <cellStyle name="Normal 5 2 2 2 11" xfId="8771" xr:uid="{0E58ED1C-12F1-4692-801F-170CA6F7CBDB}"/>
    <cellStyle name="Normal 5 2 2 2 12" xfId="9891" xr:uid="{090B6345-87A2-4DCF-9EE2-4C83F2F57198}"/>
    <cellStyle name="Normal 5 2 2 2 2" xfId="410" xr:uid="{00000000-0005-0000-0000-0000F8160000}"/>
    <cellStyle name="Normal 5 2 2 2 2 10" xfId="8829" xr:uid="{AC161972-21E9-4E03-8D2E-9F95632CB08D}"/>
    <cellStyle name="Normal 5 2 2 2 2 11" xfId="9892" xr:uid="{EA743673-FEF6-4702-BD89-E5F56F69CDAB}"/>
    <cellStyle name="Normal 5 2 2 2 2 2" xfId="411" xr:uid="{00000000-0005-0000-0000-0000F9160000}"/>
    <cellStyle name="Normal 5 2 2 2 2 2 10" xfId="9893" xr:uid="{A29948F3-127D-47E6-9B8D-A88274392B4C}"/>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DB081CA5-B981-4B58-B26C-3204FF1294FA}"/>
    <cellStyle name="Normal 5 2 2 2 2 2 2 2 2 3" xfId="12452" xr:uid="{6136D96C-DDC0-4255-BDC2-33A5D495262D}"/>
    <cellStyle name="Normal 5 2 2 2 2 2 2 2 3" xfId="5198" xr:uid="{00000000-0005-0000-0000-0000FE160000}"/>
    <cellStyle name="Normal 5 2 2 2 2 2 2 2 3 2" xfId="14524" xr:uid="{76C9B8F1-60B9-45B0-BE09-F9BCE27C453D}"/>
    <cellStyle name="Normal 5 2 2 2 2 2 2 2 4" xfId="9564" xr:uid="{15884BE4-44C0-46E7-A184-FC102AAADEB4}"/>
    <cellStyle name="Normal 5 2 2 2 2 2 2 2 5" xfId="10307" xr:uid="{A8D58CAC-A28C-47E7-82A3-E7513A9482E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418B244F-2DA8-47BA-8B3D-B75BDD74C5FE}"/>
    <cellStyle name="Normal 5 2 2 2 2 2 2 3 2 3" xfId="12865" xr:uid="{2BB4A79B-4397-4F2D-971D-9C7CD9C10964}"/>
    <cellStyle name="Normal 5 2 2 2 2 2 2 3 3" xfId="5611" xr:uid="{00000000-0005-0000-0000-000002170000}"/>
    <cellStyle name="Normal 5 2 2 2 2 2 2 3 3 2" xfId="14937" xr:uid="{0D559E64-AACC-46F7-B11A-D962CC2B0E13}"/>
    <cellStyle name="Normal 5 2 2 2 2 2 2 3 4" xfId="10720" xr:uid="{DFC11FD4-8F74-4116-B9F4-C5166B4172FB}"/>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44FF07DF-3007-440F-9B33-CA2B641A10E9}"/>
    <cellStyle name="Normal 5 2 2 2 2 2 2 4 2 3" xfId="13278" xr:uid="{7F4F4B82-FBF7-437B-AF37-CC0C1D3397B6}"/>
    <cellStyle name="Normal 5 2 2 2 2 2 2 4 3" xfId="6024" xr:uid="{00000000-0005-0000-0000-000006170000}"/>
    <cellStyle name="Normal 5 2 2 2 2 2 2 4 3 2" xfId="15350" xr:uid="{87C26517-57E2-4C68-8F35-41BECE83A53A}"/>
    <cellStyle name="Normal 5 2 2 2 2 2 2 4 4" xfId="11133" xr:uid="{369293D5-43D6-481C-A49D-D9E25DB10F45}"/>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4581DD7B-4591-401A-8AA2-180F10BA7A7A}"/>
    <cellStyle name="Normal 5 2 2 2 2 2 2 5 2 3" xfId="13691" xr:uid="{80F2B780-5406-4E75-A14A-06AF9F16A0F0}"/>
    <cellStyle name="Normal 5 2 2 2 2 2 2 5 3" xfId="6437" xr:uid="{00000000-0005-0000-0000-00000A170000}"/>
    <cellStyle name="Normal 5 2 2 2 2 2 2 5 3 2" xfId="15763" xr:uid="{DCC46BB0-227E-4CE8-88AD-29E0F38BC718}"/>
    <cellStyle name="Normal 5 2 2 2 2 2 2 5 4" xfId="11546" xr:uid="{65A0214E-F302-4DD2-9660-2EE9E351E931}"/>
    <cellStyle name="Normal 5 2 2 2 2 2 2 6" xfId="2567" xr:uid="{00000000-0005-0000-0000-00000B170000}"/>
    <cellStyle name="Normal 5 2 2 2 2 2 2 6 2" xfId="6850" xr:uid="{00000000-0005-0000-0000-00000C170000}"/>
    <cellStyle name="Normal 5 2 2 2 2 2 2 6 2 2" xfId="16176" xr:uid="{585757BC-88F1-4055-B111-C9691B41B73B}"/>
    <cellStyle name="Normal 5 2 2 2 2 2 2 6 3" xfId="11959" xr:uid="{40BF97D8-14CD-41DB-BE7E-B45467195417}"/>
    <cellStyle name="Normal 5 2 2 2 2 2 2 7" xfId="4785" xr:uid="{00000000-0005-0000-0000-00000D170000}"/>
    <cellStyle name="Normal 5 2 2 2 2 2 2 7 2" xfId="14111" xr:uid="{63BD0CD2-3F1C-4698-97E3-288FA3CB6AA5}"/>
    <cellStyle name="Normal 5 2 2 2 2 2 2 8" xfId="9139" xr:uid="{CFCC7179-F81D-4929-81F2-C6E64655A093}"/>
    <cellStyle name="Normal 5 2 2 2 2 2 2 9" xfId="9894" xr:uid="{83690188-D4BA-4F0E-B28D-332848C51451}"/>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7361EF78-563B-4177-A2F4-9D25F073CB24}"/>
    <cellStyle name="Normal 5 2 2 2 2 2 3 2 3" xfId="12451" xr:uid="{96344624-5441-4777-9C87-A423BE44EEC4}"/>
    <cellStyle name="Normal 5 2 2 2 2 2 3 3" xfId="5197" xr:uid="{00000000-0005-0000-0000-000011170000}"/>
    <cellStyle name="Normal 5 2 2 2 2 2 3 3 2" xfId="14523" xr:uid="{7AAE6C05-AEC3-405A-A595-36A0443CBBDD}"/>
    <cellStyle name="Normal 5 2 2 2 2 2 3 4" xfId="9357" xr:uid="{1809EB60-9E69-4954-99A5-643CD830C5FB}"/>
    <cellStyle name="Normal 5 2 2 2 2 2 3 5" xfId="10306" xr:uid="{9B62A392-106D-409F-B31C-9CFAC558A3AE}"/>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D86CFC35-1C38-4007-82B4-57C5CF0D0579}"/>
    <cellStyle name="Normal 5 2 2 2 2 2 4 2 3" xfId="12864" xr:uid="{B9AD66A5-99D0-4FCE-B64F-561720DFF2A3}"/>
    <cellStyle name="Normal 5 2 2 2 2 2 4 3" xfId="5610" xr:uid="{00000000-0005-0000-0000-000015170000}"/>
    <cellStyle name="Normal 5 2 2 2 2 2 4 3 2" xfId="14936" xr:uid="{12B17D35-5340-45F0-8B43-B3C7D17EEA24}"/>
    <cellStyle name="Normal 5 2 2 2 2 2 4 4" xfId="10719" xr:uid="{C5ACCBD8-77B1-48F0-B1E9-72DEBCBFFFA4}"/>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0376F5C0-DE7D-4FEA-8CDE-8B43561842C8}"/>
    <cellStyle name="Normal 5 2 2 2 2 2 5 2 3" xfId="13277" xr:uid="{9920E473-D974-4B17-A07E-B5AC07FC984E}"/>
    <cellStyle name="Normal 5 2 2 2 2 2 5 3" xfId="6023" xr:uid="{00000000-0005-0000-0000-000019170000}"/>
    <cellStyle name="Normal 5 2 2 2 2 2 5 3 2" xfId="15349" xr:uid="{BBC83F7A-6CBD-4C99-8E47-32FE1592E3DA}"/>
    <cellStyle name="Normal 5 2 2 2 2 2 5 4" xfId="11132" xr:uid="{AD2F57CB-5237-4994-AA81-7E3CFDF56DC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8845C06E-951D-44BD-8404-481F17C1972F}"/>
    <cellStyle name="Normal 5 2 2 2 2 2 6 2 3" xfId="13690" xr:uid="{76F37FCD-8D2C-4E7D-ABB4-0A2328102944}"/>
    <cellStyle name="Normal 5 2 2 2 2 2 6 3" xfId="6436" xr:uid="{00000000-0005-0000-0000-00001D170000}"/>
    <cellStyle name="Normal 5 2 2 2 2 2 6 3 2" xfId="15762" xr:uid="{955050B7-62BF-4D04-9D48-8C0751956320}"/>
    <cellStyle name="Normal 5 2 2 2 2 2 6 4" xfId="11545" xr:uid="{49F1F51E-74B5-4593-9E0A-960E06FE25F4}"/>
    <cellStyle name="Normal 5 2 2 2 2 2 7" xfId="2566" xr:uid="{00000000-0005-0000-0000-00001E170000}"/>
    <cellStyle name="Normal 5 2 2 2 2 2 7 2" xfId="6849" xr:uid="{00000000-0005-0000-0000-00001F170000}"/>
    <cellStyle name="Normal 5 2 2 2 2 2 7 2 2" xfId="16175" xr:uid="{56F9AAB4-96ED-4B89-B0EA-D293A966D174}"/>
    <cellStyle name="Normal 5 2 2 2 2 2 7 3" xfId="11958" xr:uid="{3EF42BB3-DC53-4406-806D-DB745A44BB25}"/>
    <cellStyle name="Normal 5 2 2 2 2 2 8" xfId="4784" xr:uid="{00000000-0005-0000-0000-000020170000}"/>
    <cellStyle name="Normal 5 2 2 2 2 2 8 2" xfId="14110" xr:uid="{264A70F8-00EF-49F9-96AC-6E450919DAD6}"/>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1685C749-760E-4F4B-9842-E1AB255D8A46}"/>
    <cellStyle name="Normal 5 2 2 2 2 3 2 2 3" xfId="12453" xr:uid="{F54B42E2-D271-4850-8379-C598A45EEBC1}"/>
    <cellStyle name="Normal 5 2 2 2 2 3 2 3" xfId="5199" xr:uid="{00000000-0005-0000-0000-000025170000}"/>
    <cellStyle name="Normal 5 2 2 2 2 3 2 3 2" xfId="14525" xr:uid="{268A7A8C-4687-443B-BF39-65EFA70353B1}"/>
    <cellStyle name="Normal 5 2 2 2 2 3 2 4" xfId="9461" xr:uid="{815E4D9A-ED64-4B6C-A17A-F6D83CC40A47}"/>
    <cellStyle name="Normal 5 2 2 2 2 3 2 5" xfId="10308" xr:uid="{463F4A77-B703-4E66-82B6-A6021BF6A232}"/>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EC2924DB-04D9-4314-9C99-ABBBD09DC8AA}"/>
    <cellStyle name="Normal 5 2 2 2 2 3 3 2 3" xfId="12866" xr:uid="{E71587D9-1A54-4A97-94B1-913A9988CF9A}"/>
    <cellStyle name="Normal 5 2 2 2 2 3 3 3" xfId="5612" xr:uid="{00000000-0005-0000-0000-000029170000}"/>
    <cellStyle name="Normal 5 2 2 2 2 3 3 3 2" xfId="14938" xr:uid="{C1465706-0714-49DF-A9D9-D66A2146C60C}"/>
    <cellStyle name="Normal 5 2 2 2 2 3 3 4" xfId="10721" xr:uid="{AA1BE9DE-D114-47C7-8AF1-197FB262204E}"/>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2627E98A-6D38-48B4-9BA1-30C8ACA49304}"/>
    <cellStyle name="Normal 5 2 2 2 2 3 4 2 3" xfId="13279" xr:uid="{0FA3C3A3-6471-4516-BBA7-9FDB1E4EBCC5}"/>
    <cellStyle name="Normal 5 2 2 2 2 3 4 3" xfId="6025" xr:uid="{00000000-0005-0000-0000-00002D170000}"/>
    <cellStyle name="Normal 5 2 2 2 2 3 4 3 2" xfId="15351" xr:uid="{262B567C-3F14-4191-BFA4-186A561CFD56}"/>
    <cellStyle name="Normal 5 2 2 2 2 3 4 4" xfId="11134" xr:uid="{2782D967-7AAF-4863-B90B-66C70469BF08}"/>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88EAFEA1-A2A0-41EE-B8FD-229754A1F87D}"/>
    <cellStyle name="Normal 5 2 2 2 2 3 5 2 3" xfId="13692" xr:uid="{D8CD34CB-B72D-4E67-A1AD-ED1D2677D02D}"/>
    <cellStyle name="Normal 5 2 2 2 2 3 5 3" xfId="6438" xr:uid="{00000000-0005-0000-0000-000031170000}"/>
    <cellStyle name="Normal 5 2 2 2 2 3 5 3 2" xfId="15764" xr:uid="{584C0C7D-C7F4-4FFD-8478-95709EA46CD8}"/>
    <cellStyle name="Normal 5 2 2 2 2 3 5 4" xfId="11547" xr:uid="{F6500A40-DEBD-48B5-884F-2ADA336E5A7A}"/>
    <cellStyle name="Normal 5 2 2 2 2 3 6" xfId="2568" xr:uid="{00000000-0005-0000-0000-000032170000}"/>
    <cellStyle name="Normal 5 2 2 2 2 3 6 2" xfId="6851" xr:uid="{00000000-0005-0000-0000-000033170000}"/>
    <cellStyle name="Normal 5 2 2 2 2 3 6 2 2" xfId="16177" xr:uid="{B26015D4-9672-4E6F-96FA-571CD3A58236}"/>
    <cellStyle name="Normal 5 2 2 2 2 3 6 3" xfId="11960" xr:uid="{EEE56ED8-9218-4202-ADDB-BA3F0C2E45C4}"/>
    <cellStyle name="Normal 5 2 2 2 2 3 7" xfId="4786" xr:uid="{00000000-0005-0000-0000-000034170000}"/>
    <cellStyle name="Normal 5 2 2 2 2 3 7 2" xfId="14112" xr:uid="{DCC33635-DD13-4924-82D7-E38A6DD38BDB}"/>
    <cellStyle name="Normal 5 2 2 2 2 3 8" xfId="9036" xr:uid="{2B9BC3AC-900A-42EE-A23F-E5574B6E75BC}"/>
    <cellStyle name="Normal 5 2 2 2 2 3 9" xfId="9895" xr:uid="{79EE92CB-674E-4A9A-A788-B7B256E3F7B3}"/>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26DCDA9D-0059-48FA-8117-3D84A148F51C}"/>
    <cellStyle name="Normal 5 2 2 2 2 4 2 3" xfId="12450" xr:uid="{FD05837F-53EA-40AC-B7A4-2E41B6DFB20A}"/>
    <cellStyle name="Normal 5 2 2 2 2 4 3" xfId="5196" xr:uid="{00000000-0005-0000-0000-000038170000}"/>
    <cellStyle name="Normal 5 2 2 2 2 4 3 2" xfId="14522" xr:uid="{D405E2A3-6F21-4220-B1BC-29C5407EE54E}"/>
    <cellStyle name="Normal 5 2 2 2 2 4 4" xfId="9254" xr:uid="{B0B4DA0D-4C0F-4712-8BF0-280C2A85D575}"/>
    <cellStyle name="Normal 5 2 2 2 2 4 5" xfId="10305" xr:uid="{4158022E-2922-4ACB-B1B6-44F9D7DFBAE8}"/>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9E826380-F419-40F0-A7F0-39B8E5691808}"/>
    <cellStyle name="Normal 5 2 2 2 2 5 2 3" xfId="12863" xr:uid="{B132C339-DD41-433C-A9FE-9C46D66EA6E2}"/>
    <cellStyle name="Normal 5 2 2 2 2 5 3" xfId="5609" xr:uid="{00000000-0005-0000-0000-00003C170000}"/>
    <cellStyle name="Normal 5 2 2 2 2 5 3 2" xfId="14935" xr:uid="{A481156D-978F-48DC-B321-B826EBE3279A}"/>
    <cellStyle name="Normal 5 2 2 2 2 5 4" xfId="10718" xr:uid="{38E11966-ED62-4FE4-B7F7-30DAB5100586}"/>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4DD28310-90A2-4A11-87F3-348596F8C90E}"/>
    <cellStyle name="Normal 5 2 2 2 2 6 2 3" xfId="13276" xr:uid="{396ED4EC-41E0-4D93-B6D0-FB7797504EE6}"/>
    <cellStyle name="Normal 5 2 2 2 2 6 3" xfId="6022" xr:uid="{00000000-0005-0000-0000-000040170000}"/>
    <cellStyle name="Normal 5 2 2 2 2 6 3 2" xfId="15348" xr:uid="{1A366443-CFA6-4677-8AD7-6E8E4CEE8A2E}"/>
    <cellStyle name="Normal 5 2 2 2 2 6 4" xfId="11131" xr:uid="{ED13283E-554C-4588-B838-BAF0737C86A1}"/>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5BA9FD6C-C202-4AD9-9027-B1F32CF694AC}"/>
    <cellStyle name="Normal 5 2 2 2 2 7 2 3" xfId="13689" xr:uid="{C4C8ECD9-4A30-48FB-B594-AD42389E1AEA}"/>
    <cellStyle name="Normal 5 2 2 2 2 7 3" xfId="6435" xr:uid="{00000000-0005-0000-0000-000044170000}"/>
    <cellStyle name="Normal 5 2 2 2 2 7 3 2" xfId="15761" xr:uid="{BEB2F870-38AC-42E9-A1EB-9F404A89F6DF}"/>
    <cellStyle name="Normal 5 2 2 2 2 7 4" xfId="11544" xr:uid="{F1F35A4B-770F-457F-BABB-74AD11113D32}"/>
    <cellStyle name="Normal 5 2 2 2 2 8" xfId="2565" xr:uid="{00000000-0005-0000-0000-000045170000}"/>
    <cellStyle name="Normal 5 2 2 2 2 8 2" xfId="6848" xr:uid="{00000000-0005-0000-0000-000046170000}"/>
    <cellStyle name="Normal 5 2 2 2 2 8 2 2" xfId="16174" xr:uid="{2E315CBE-09DF-406B-BBC7-F73BF16A885E}"/>
    <cellStyle name="Normal 5 2 2 2 2 8 3" xfId="11957" xr:uid="{46A40C2A-72E2-438D-8314-8207AAE4F6A1}"/>
    <cellStyle name="Normal 5 2 2 2 2 9" xfId="4783" xr:uid="{00000000-0005-0000-0000-000047170000}"/>
    <cellStyle name="Normal 5 2 2 2 2 9 2" xfId="14109" xr:uid="{43020805-3A99-4A3E-8CDD-3D6AAB689094}"/>
    <cellStyle name="Normal 5 2 2 2 3" xfId="414" xr:uid="{00000000-0005-0000-0000-000048170000}"/>
    <cellStyle name="Normal 5 2 2 2 3 10" xfId="9896" xr:uid="{5288CDDE-EC5C-418C-9CDD-DF835FE9111A}"/>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FADC51AC-F26C-40C2-A9E5-EA35F0EF4B49}"/>
    <cellStyle name="Normal 5 2 2 2 3 2 2 2 3" xfId="12455" xr:uid="{28BBCF41-6E7E-4C89-AF0E-47D0648CAD25}"/>
    <cellStyle name="Normal 5 2 2 2 3 2 2 3" xfId="5201" xr:uid="{00000000-0005-0000-0000-00004D170000}"/>
    <cellStyle name="Normal 5 2 2 2 3 2 2 3 2" xfId="14527" xr:uid="{A53E0189-BFC7-4F8C-88CB-7E83981B4507}"/>
    <cellStyle name="Normal 5 2 2 2 3 2 2 4" xfId="9506" xr:uid="{65E8E1F9-5B62-47C9-8131-412DF42F5268}"/>
    <cellStyle name="Normal 5 2 2 2 3 2 2 5" xfId="10310" xr:uid="{B41CC292-A610-411F-BF9E-912E0B16EEEF}"/>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86CF81F7-9E49-4475-A374-4F3A73985684}"/>
    <cellStyle name="Normal 5 2 2 2 3 2 3 2 3" xfId="12868" xr:uid="{8DF90AD5-8EE0-41F9-9F1D-BBE032781BA3}"/>
    <cellStyle name="Normal 5 2 2 2 3 2 3 3" xfId="5614" xr:uid="{00000000-0005-0000-0000-000051170000}"/>
    <cellStyle name="Normal 5 2 2 2 3 2 3 3 2" xfId="14940" xr:uid="{90B5DEF0-99E1-4042-8DE5-CC1261551E34}"/>
    <cellStyle name="Normal 5 2 2 2 3 2 3 4" xfId="10723" xr:uid="{1C884434-3740-47C5-9316-84B1D5D1E354}"/>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F79D5460-12B4-4B5C-AEBA-B18F09353938}"/>
    <cellStyle name="Normal 5 2 2 2 3 2 4 2 3" xfId="13281" xr:uid="{B371FE7A-672B-4A33-8BFB-BC75322D0B1B}"/>
    <cellStyle name="Normal 5 2 2 2 3 2 4 3" xfId="6027" xr:uid="{00000000-0005-0000-0000-000055170000}"/>
    <cellStyle name="Normal 5 2 2 2 3 2 4 3 2" xfId="15353" xr:uid="{21C916E1-DD6D-45E1-83F0-43D8C9868F8D}"/>
    <cellStyle name="Normal 5 2 2 2 3 2 4 4" xfId="11136" xr:uid="{8D1D3E95-4E92-4B8F-9A9F-7E97686BF387}"/>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861933AE-7BE1-4DEE-A904-532DCFD3D662}"/>
    <cellStyle name="Normal 5 2 2 2 3 2 5 2 3" xfId="13694" xr:uid="{C23514BE-775B-4FFD-BA1E-8F0BD4B6348A}"/>
    <cellStyle name="Normal 5 2 2 2 3 2 5 3" xfId="6440" xr:uid="{00000000-0005-0000-0000-000059170000}"/>
    <cellStyle name="Normal 5 2 2 2 3 2 5 3 2" xfId="15766" xr:uid="{F42151FB-DCBD-4935-AC04-CB30D6C5379B}"/>
    <cellStyle name="Normal 5 2 2 2 3 2 5 4" xfId="11549" xr:uid="{24B04C0C-2AD7-443A-BE4E-BFB5F31A5E42}"/>
    <cellStyle name="Normal 5 2 2 2 3 2 6" xfId="2570" xr:uid="{00000000-0005-0000-0000-00005A170000}"/>
    <cellStyle name="Normal 5 2 2 2 3 2 6 2" xfId="6853" xr:uid="{00000000-0005-0000-0000-00005B170000}"/>
    <cellStyle name="Normal 5 2 2 2 3 2 6 2 2" xfId="16179" xr:uid="{21BDAD0B-B6FB-4DA8-B81F-CFD64DC736FE}"/>
    <cellStyle name="Normal 5 2 2 2 3 2 6 3" xfId="11962" xr:uid="{7C96DABE-44C0-4522-B167-D204C3B75A7B}"/>
    <cellStyle name="Normal 5 2 2 2 3 2 7" xfId="4788" xr:uid="{00000000-0005-0000-0000-00005C170000}"/>
    <cellStyle name="Normal 5 2 2 2 3 2 7 2" xfId="14114" xr:uid="{6C67EBFE-F6BA-4333-8D65-68C76A4110E6}"/>
    <cellStyle name="Normal 5 2 2 2 3 2 8" xfId="9081" xr:uid="{B0400C6D-4400-4F06-9092-2DCAD3324CF1}"/>
    <cellStyle name="Normal 5 2 2 2 3 2 9" xfId="9897" xr:uid="{0588040B-0C07-41AF-8BE7-6FAE10588A36}"/>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D191D88B-3C48-4DF9-8FE1-5C08634F219A}"/>
    <cellStyle name="Normal 5 2 2 2 3 3 2 3" xfId="12454" xr:uid="{9C383520-FE32-45A0-A5C5-E964B8089DF3}"/>
    <cellStyle name="Normal 5 2 2 2 3 3 3" xfId="5200" xr:uid="{00000000-0005-0000-0000-000060170000}"/>
    <cellStyle name="Normal 5 2 2 2 3 3 3 2" xfId="14526" xr:uid="{3A97F9E3-85B8-48E1-B3EB-5710C6CEFAD8}"/>
    <cellStyle name="Normal 5 2 2 2 3 3 4" xfId="9299" xr:uid="{85780536-A38F-4D86-8846-D9FA6BB2D61D}"/>
    <cellStyle name="Normal 5 2 2 2 3 3 5" xfId="10309" xr:uid="{3DAF4F70-0795-49F9-AAD7-02336B42CE3C}"/>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BEF45675-2A74-4E51-A4CA-27B93F237937}"/>
    <cellStyle name="Normal 5 2 2 2 3 4 2 3" xfId="12867" xr:uid="{25371563-3D43-412E-993C-11C1FD23AA19}"/>
    <cellStyle name="Normal 5 2 2 2 3 4 3" xfId="5613" xr:uid="{00000000-0005-0000-0000-000064170000}"/>
    <cellStyle name="Normal 5 2 2 2 3 4 3 2" xfId="14939" xr:uid="{DD4E96AA-B487-4D3A-A0E6-2D3629E52DDA}"/>
    <cellStyle name="Normal 5 2 2 2 3 4 4" xfId="10722" xr:uid="{AAA7753D-1975-4F14-ACD8-1CD3F481DD7B}"/>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4FC01364-4BFA-41F6-AF64-38442A6FE79B}"/>
    <cellStyle name="Normal 5 2 2 2 3 5 2 3" xfId="13280" xr:uid="{8D579325-85CF-48F7-9496-95578956FED0}"/>
    <cellStyle name="Normal 5 2 2 2 3 5 3" xfId="6026" xr:uid="{00000000-0005-0000-0000-000068170000}"/>
    <cellStyle name="Normal 5 2 2 2 3 5 3 2" xfId="15352" xr:uid="{33050141-B8B3-4E35-B205-65E4BC5B70AA}"/>
    <cellStyle name="Normal 5 2 2 2 3 5 4" xfId="11135" xr:uid="{0F880D52-EC1C-4AE8-8BAA-1248E07027C5}"/>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A7838D37-A1E3-45DD-901F-7EE93C568A81}"/>
    <cellStyle name="Normal 5 2 2 2 3 6 2 3" xfId="13693" xr:uid="{64DD4529-78DF-42CC-A100-97271C15115E}"/>
    <cellStyle name="Normal 5 2 2 2 3 6 3" xfId="6439" xr:uid="{00000000-0005-0000-0000-00006C170000}"/>
    <cellStyle name="Normal 5 2 2 2 3 6 3 2" xfId="15765" xr:uid="{7E010C62-9FD3-4C8D-9002-1C36C770534D}"/>
    <cellStyle name="Normal 5 2 2 2 3 6 4" xfId="11548" xr:uid="{4974F215-7195-4908-A860-112C0A58C28A}"/>
    <cellStyle name="Normal 5 2 2 2 3 7" xfId="2569" xr:uid="{00000000-0005-0000-0000-00006D170000}"/>
    <cellStyle name="Normal 5 2 2 2 3 7 2" xfId="6852" xr:uid="{00000000-0005-0000-0000-00006E170000}"/>
    <cellStyle name="Normal 5 2 2 2 3 7 2 2" xfId="16178" xr:uid="{98FD570A-9202-4C52-9595-81E03E067236}"/>
    <cellStyle name="Normal 5 2 2 2 3 7 3" xfId="11961" xr:uid="{B8074524-34EB-42B3-82D0-D57E49ABCF23}"/>
    <cellStyle name="Normal 5 2 2 2 3 8" xfId="4787" xr:uid="{00000000-0005-0000-0000-00006F170000}"/>
    <cellStyle name="Normal 5 2 2 2 3 8 2" xfId="14113" xr:uid="{C03820D4-BF18-4CE3-8584-7311C4305A58}"/>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B87E0A45-3AF7-4762-BDF7-DB856B264F8F}"/>
    <cellStyle name="Normal 5 2 2 2 4 2 2 3" xfId="12456" xr:uid="{B507E16B-3C11-49C6-BAEB-1A5098FA08E5}"/>
    <cellStyle name="Normal 5 2 2 2 4 2 3" xfId="5202" xr:uid="{00000000-0005-0000-0000-000074170000}"/>
    <cellStyle name="Normal 5 2 2 2 4 2 3 2" xfId="14528" xr:uid="{5650F81D-BCE7-4D0C-B8A5-48DB2D02BBA4}"/>
    <cellStyle name="Normal 5 2 2 2 4 2 4" xfId="9403" xr:uid="{DDA7C497-662A-4A76-A324-A27E6A0A2B3D}"/>
    <cellStyle name="Normal 5 2 2 2 4 2 5" xfId="10311" xr:uid="{922A1E53-3E94-4168-9B9C-67AE3A68075C}"/>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1B3AA96E-9C36-4773-8498-7000B3E89016}"/>
    <cellStyle name="Normal 5 2 2 2 4 3 2 3" xfId="12869" xr:uid="{69413832-12E9-4604-B82C-240ABB70C73C}"/>
    <cellStyle name="Normal 5 2 2 2 4 3 3" xfId="5615" xr:uid="{00000000-0005-0000-0000-000078170000}"/>
    <cellStyle name="Normal 5 2 2 2 4 3 3 2" xfId="14941" xr:uid="{50040942-60D9-4F54-964F-8B86941BC0E6}"/>
    <cellStyle name="Normal 5 2 2 2 4 3 4" xfId="10724" xr:uid="{8DA50CE3-6833-45D3-B9D2-8DF0BF8EDBA3}"/>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07D9DE69-A000-431F-922E-FBEC261F754A}"/>
    <cellStyle name="Normal 5 2 2 2 4 4 2 3" xfId="13282" xr:uid="{1A9EBF06-4DAC-4B83-AA43-DA4D72FBE78A}"/>
    <cellStyle name="Normal 5 2 2 2 4 4 3" xfId="6028" xr:uid="{00000000-0005-0000-0000-00007C170000}"/>
    <cellStyle name="Normal 5 2 2 2 4 4 3 2" xfId="15354" xr:uid="{D8A4EA1E-4E68-4031-ABA0-FF17417C2ACD}"/>
    <cellStyle name="Normal 5 2 2 2 4 4 4" xfId="11137" xr:uid="{0CA687F7-0BF9-4782-8AF6-ECCB0E2599D8}"/>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A0EE74CC-8D32-48DA-AC9F-5C644EC3100C}"/>
    <cellStyle name="Normal 5 2 2 2 4 5 2 3" xfId="13695" xr:uid="{45593CF4-BF48-4F08-8595-C4583C936524}"/>
    <cellStyle name="Normal 5 2 2 2 4 5 3" xfId="6441" xr:uid="{00000000-0005-0000-0000-000080170000}"/>
    <cellStyle name="Normal 5 2 2 2 4 5 3 2" xfId="15767" xr:uid="{222A05DD-6E1E-477F-A730-4FCF232D9D66}"/>
    <cellStyle name="Normal 5 2 2 2 4 5 4" xfId="11550" xr:uid="{C9A3D654-2718-404B-8F7F-D89F44CAD06E}"/>
    <cellStyle name="Normal 5 2 2 2 4 6" xfId="2571" xr:uid="{00000000-0005-0000-0000-000081170000}"/>
    <cellStyle name="Normal 5 2 2 2 4 6 2" xfId="6854" xr:uid="{00000000-0005-0000-0000-000082170000}"/>
    <cellStyle name="Normal 5 2 2 2 4 6 2 2" xfId="16180" xr:uid="{679E4850-358E-4ABC-A01A-FAAB57B1430A}"/>
    <cellStyle name="Normal 5 2 2 2 4 6 3" xfId="11963" xr:uid="{D0987C7C-F28C-4FE1-BDF8-D3DF215A1790}"/>
    <cellStyle name="Normal 5 2 2 2 4 7" xfId="4789" xr:uid="{00000000-0005-0000-0000-000083170000}"/>
    <cellStyle name="Normal 5 2 2 2 4 7 2" xfId="14115" xr:uid="{CBEAB45A-394A-484E-AAC9-F6030FB161F7}"/>
    <cellStyle name="Normal 5 2 2 2 4 8" xfId="8978" xr:uid="{5B5F86B4-BA0F-43A7-920A-E466FD014739}"/>
    <cellStyle name="Normal 5 2 2 2 4 9" xfId="9898" xr:uid="{4ECBF722-81AD-44C7-BF2C-3A4FE2855D35}"/>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6AF3F971-E9D4-4FBB-BD70-B021F29746B8}"/>
    <cellStyle name="Normal 5 2 2 2 5 2 3" xfId="12449" xr:uid="{E9F0D3A2-6F7E-421C-B9BE-8954E7EF9586}"/>
    <cellStyle name="Normal 5 2 2 2 5 3" xfId="5195" xr:uid="{00000000-0005-0000-0000-000087170000}"/>
    <cellStyle name="Normal 5 2 2 2 5 3 2" xfId="14521" xr:uid="{C238F0DC-631A-4184-9EB5-F6B9BC9D5AAD}"/>
    <cellStyle name="Normal 5 2 2 2 5 4" xfId="9195" xr:uid="{A7E71EA0-2CA4-4918-870E-A32EEF45C61A}"/>
    <cellStyle name="Normal 5 2 2 2 5 5" xfId="10304" xr:uid="{DEFA7B5D-1DE8-4B4F-B29F-4FD65BBBF32D}"/>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33B98B46-8C81-4D00-AB33-B917A03F87E0}"/>
    <cellStyle name="Normal 5 2 2 2 6 2 3" xfId="12862" xr:uid="{D7DB7B39-042C-4EBA-B73F-86E630F20840}"/>
    <cellStyle name="Normal 5 2 2 2 6 3" xfId="5608" xr:uid="{00000000-0005-0000-0000-00008B170000}"/>
    <cellStyle name="Normal 5 2 2 2 6 3 2" xfId="14934" xr:uid="{E858E216-9583-4DDA-A453-7353C9D68230}"/>
    <cellStyle name="Normal 5 2 2 2 6 4" xfId="10717" xr:uid="{9039D0AF-AAD1-43A8-8346-4F2432C3CAD4}"/>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A7987089-9B88-45A6-A165-32D47A5874FC}"/>
    <cellStyle name="Normal 5 2 2 2 7 2 3" xfId="13275" xr:uid="{AC0CC205-E924-4E19-8268-BE7B1451B2D7}"/>
    <cellStyle name="Normal 5 2 2 2 7 3" xfId="6021" xr:uid="{00000000-0005-0000-0000-00008F170000}"/>
    <cellStyle name="Normal 5 2 2 2 7 3 2" xfId="15347" xr:uid="{52B5AE8E-7D80-438B-A40D-F44CAE146FD1}"/>
    <cellStyle name="Normal 5 2 2 2 7 4" xfId="11130" xr:uid="{4EE74DF3-0A07-49E4-9B60-4E5D080FA9CF}"/>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90541A9A-9113-49C4-BDDC-942931943241}"/>
    <cellStyle name="Normal 5 2 2 2 8 2 3" xfId="13688" xr:uid="{E0413085-1FD7-4456-B6A3-79C7C9BD8CEB}"/>
    <cellStyle name="Normal 5 2 2 2 8 3" xfId="6434" xr:uid="{00000000-0005-0000-0000-000093170000}"/>
    <cellStyle name="Normal 5 2 2 2 8 3 2" xfId="15760" xr:uid="{2BA5EAAA-361D-4BEA-BF1C-56F43572CF43}"/>
    <cellStyle name="Normal 5 2 2 2 8 4" xfId="11543" xr:uid="{3BE37C28-E9BB-46FB-9BF5-E17BA29FC9A6}"/>
    <cellStyle name="Normal 5 2 2 2 9" xfId="2564" xr:uid="{00000000-0005-0000-0000-000094170000}"/>
    <cellStyle name="Normal 5 2 2 2 9 2" xfId="6847" xr:uid="{00000000-0005-0000-0000-000095170000}"/>
    <cellStyle name="Normal 5 2 2 2 9 2 2" xfId="16173" xr:uid="{753E8B6B-9B11-4885-B3A0-DB165FF7D4C2}"/>
    <cellStyle name="Normal 5 2 2 2 9 3" xfId="11956" xr:uid="{859B3234-7A73-4590-9208-9EAA1729E5CD}"/>
    <cellStyle name="Normal 5 2 2 3" xfId="417" xr:uid="{00000000-0005-0000-0000-000096170000}"/>
    <cellStyle name="Normal 5 2 2 3 10" xfId="8828" xr:uid="{5CED8211-F967-469B-812B-9DF6FC250177}"/>
    <cellStyle name="Normal 5 2 2 3 11" xfId="9899" xr:uid="{CBF205C8-0832-47C1-BB93-042D136864D5}"/>
    <cellStyle name="Normal 5 2 2 3 2" xfId="418" xr:uid="{00000000-0005-0000-0000-000097170000}"/>
    <cellStyle name="Normal 5 2 2 3 2 10" xfId="9900" xr:uid="{B87FABFE-DCDA-4C2F-8763-C6BB6467F31B}"/>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51E760F0-5B1F-48F3-A3E4-C0B26AD2FF12}"/>
    <cellStyle name="Normal 5 2 2 3 2 2 2 2 3" xfId="12459" xr:uid="{509198EA-7E9D-449C-A9B7-A313A10E7ADE}"/>
    <cellStyle name="Normal 5 2 2 3 2 2 2 3" xfId="5205" xr:uid="{00000000-0005-0000-0000-00009C170000}"/>
    <cellStyle name="Normal 5 2 2 3 2 2 2 3 2" xfId="14531" xr:uid="{46967C61-14F1-44D0-9C49-7A4EF97BCF3E}"/>
    <cellStyle name="Normal 5 2 2 3 2 2 2 4" xfId="9563" xr:uid="{804E641C-B5FA-46A3-B805-C1D4AF390C28}"/>
    <cellStyle name="Normal 5 2 2 3 2 2 2 5" xfId="10314" xr:uid="{2F975B75-7E4E-489F-8C54-332F316D3857}"/>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27C58919-07A0-42C3-BC69-D197DA461A43}"/>
    <cellStyle name="Normal 5 2 2 3 2 2 3 2 3" xfId="12872" xr:uid="{C0890A24-359E-48FD-BB40-BE27E91D1D9F}"/>
    <cellStyle name="Normal 5 2 2 3 2 2 3 3" xfId="5618" xr:uid="{00000000-0005-0000-0000-0000A0170000}"/>
    <cellStyle name="Normal 5 2 2 3 2 2 3 3 2" xfId="14944" xr:uid="{ED943053-50C5-4A32-AAF2-8B123535BD47}"/>
    <cellStyle name="Normal 5 2 2 3 2 2 3 4" xfId="10727" xr:uid="{C60EE82F-5156-425E-9CF0-8F116A1DE015}"/>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9AEE0C71-D5F9-42B6-AC65-89478C0BA63F}"/>
    <cellStyle name="Normal 5 2 2 3 2 2 4 2 3" xfId="13285" xr:uid="{C40FAE06-D92F-4484-A247-EA89C512F22A}"/>
    <cellStyle name="Normal 5 2 2 3 2 2 4 3" xfId="6031" xr:uid="{00000000-0005-0000-0000-0000A4170000}"/>
    <cellStyle name="Normal 5 2 2 3 2 2 4 3 2" xfId="15357" xr:uid="{3692B703-F7B8-411A-B48F-AC28A2774837}"/>
    <cellStyle name="Normal 5 2 2 3 2 2 4 4" xfId="11140" xr:uid="{57B0A337-B47A-4BF1-A116-A124EC6D503A}"/>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71D1AF20-5955-4AAC-B1E6-C879B475894C}"/>
    <cellStyle name="Normal 5 2 2 3 2 2 5 2 3" xfId="13698" xr:uid="{945651BB-FCE5-4C4B-BA69-A57D8ECBD3F2}"/>
    <cellStyle name="Normal 5 2 2 3 2 2 5 3" xfId="6444" xr:uid="{00000000-0005-0000-0000-0000A8170000}"/>
    <cellStyle name="Normal 5 2 2 3 2 2 5 3 2" xfId="15770" xr:uid="{BF5DFE3D-61A8-4993-9F25-2AD49B6237DA}"/>
    <cellStyle name="Normal 5 2 2 3 2 2 5 4" xfId="11553" xr:uid="{09A49DC7-9EA5-4893-8B07-02E4E2DCFE20}"/>
    <cellStyle name="Normal 5 2 2 3 2 2 6" xfId="2574" xr:uid="{00000000-0005-0000-0000-0000A9170000}"/>
    <cellStyle name="Normal 5 2 2 3 2 2 6 2" xfId="6857" xr:uid="{00000000-0005-0000-0000-0000AA170000}"/>
    <cellStyle name="Normal 5 2 2 3 2 2 6 2 2" xfId="16183" xr:uid="{0DBE57B8-0B61-4155-96F0-69C8ACBE2512}"/>
    <cellStyle name="Normal 5 2 2 3 2 2 6 3" xfId="11966" xr:uid="{000EE9CD-706C-43A4-9489-01662CC0A411}"/>
    <cellStyle name="Normal 5 2 2 3 2 2 7" xfId="4792" xr:uid="{00000000-0005-0000-0000-0000AB170000}"/>
    <cellStyle name="Normal 5 2 2 3 2 2 7 2" xfId="14118" xr:uid="{FDB37792-EA5C-4B5A-9891-FD01D1429106}"/>
    <cellStyle name="Normal 5 2 2 3 2 2 8" xfId="9138" xr:uid="{BE73D583-3CAB-48A9-8A6F-E88EE69D1D1D}"/>
    <cellStyle name="Normal 5 2 2 3 2 2 9" xfId="9901" xr:uid="{1C60C863-096A-4CF7-B072-EC2E2EC5298E}"/>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1E491815-6B34-4B3D-899E-63E45EF053B4}"/>
    <cellStyle name="Normal 5 2 2 3 2 3 2 3" xfId="12458" xr:uid="{D4B1E8A1-32F2-4BF6-A12E-1B1DBD15A9D3}"/>
    <cellStyle name="Normal 5 2 2 3 2 3 3" xfId="5204" xr:uid="{00000000-0005-0000-0000-0000AF170000}"/>
    <cellStyle name="Normal 5 2 2 3 2 3 3 2" xfId="14530" xr:uid="{6771F3D2-B156-4DA5-902D-999729F8324E}"/>
    <cellStyle name="Normal 5 2 2 3 2 3 4" xfId="9356" xr:uid="{58BAA3B3-A7A2-4F6F-9929-D8BE9F0A557D}"/>
    <cellStyle name="Normal 5 2 2 3 2 3 5" xfId="10313" xr:uid="{A89006B5-1871-4375-87FA-796F2AC5A75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843AB68B-21FB-42C1-9B72-902C024494DA}"/>
    <cellStyle name="Normal 5 2 2 3 2 4 2 3" xfId="12871" xr:uid="{721BA207-58D9-4058-B89B-D9E9C8981DF1}"/>
    <cellStyle name="Normal 5 2 2 3 2 4 3" xfId="5617" xr:uid="{00000000-0005-0000-0000-0000B3170000}"/>
    <cellStyle name="Normal 5 2 2 3 2 4 3 2" xfId="14943" xr:uid="{E928420C-C5B4-48A7-8CC0-F10A48F89CF0}"/>
    <cellStyle name="Normal 5 2 2 3 2 4 4" xfId="10726" xr:uid="{1149C9F2-BF6F-4BE3-8220-28CAF8E4922E}"/>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9121CAA3-9C2F-44F3-AB6F-F0D4B5B5433B}"/>
    <cellStyle name="Normal 5 2 2 3 2 5 2 3" xfId="13284" xr:uid="{94534FBC-4E4F-407D-B64C-DE00B7BBA932}"/>
    <cellStyle name="Normal 5 2 2 3 2 5 3" xfId="6030" xr:uid="{00000000-0005-0000-0000-0000B7170000}"/>
    <cellStyle name="Normal 5 2 2 3 2 5 3 2" xfId="15356" xr:uid="{F62695D0-EAD5-417D-8DAC-CC7EB1AB1D9F}"/>
    <cellStyle name="Normal 5 2 2 3 2 5 4" xfId="11139" xr:uid="{333A0527-F459-4D50-A7E2-AA6525D97F31}"/>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5542CA76-C84E-42C0-B1A1-D88148BFD676}"/>
    <cellStyle name="Normal 5 2 2 3 2 6 2 3" xfId="13697" xr:uid="{F1FBA33F-9EBE-481C-8732-47D6099E4B03}"/>
    <cellStyle name="Normal 5 2 2 3 2 6 3" xfId="6443" xr:uid="{00000000-0005-0000-0000-0000BB170000}"/>
    <cellStyle name="Normal 5 2 2 3 2 6 3 2" xfId="15769" xr:uid="{88542D18-8979-472B-9D9F-AB90653BDBC0}"/>
    <cellStyle name="Normal 5 2 2 3 2 6 4" xfId="11552" xr:uid="{CBCDA243-2683-4957-978B-1540E5E2AB8B}"/>
    <cellStyle name="Normal 5 2 2 3 2 7" xfId="2573" xr:uid="{00000000-0005-0000-0000-0000BC170000}"/>
    <cellStyle name="Normal 5 2 2 3 2 7 2" xfId="6856" xr:uid="{00000000-0005-0000-0000-0000BD170000}"/>
    <cellStyle name="Normal 5 2 2 3 2 7 2 2" xfId="16182" xr:uid="{95B4325F-543A-404C-808F-4460FFDDDFCC}"/>
    <cellStyle name="Normal 5 2 2 3 2 7 3" xfId="11965" xr:uid="{B634B944-D945-45F0-915E-32B03F0972D2}"/>
    <cellStyle name="Normal 5 2 2 3 2 8" xfId="4791" xr:uid="{00000000-0005-0000-0000-0000BE170000}"/>
    <cellStyle name="Normal 5 2 2 3 2 8 2" xfId="14117" xr:uid="{A387B7DA-65D5-4836-88CB-1FB94F406319}"/>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4028B3AB-1638-4215-83FB-3B7EF6AB311E}"/>
    <cellStyle name="Normal 5 2 2 3 3 2 2 3" xfId="12460" xr:uid="{09048669-12E1-41F8-B476-EA93BD3DCBC9}"/>
    <cellStyle name="Normal 5 2 2 3 3 2 3" xfId="5206" xr:uid="{00000000-0005-0000-0000-0000C3170000}"/>
    <cellStyle name="Normal 5 2 2 3 3 2 3 2" xfId="14532" xr:uid="{E556E848-7894-4FAC-B559-5307249AE988}"/>
    <cellStyle name="Normal 5 2 2 3 3 2 4" xfId="9460" xr:uid="{423E0BE9-24F3-4EF0-8962-2565594BF831}"/>
    <cellStyle name="Normal 5 2 2 3 3 2 5" xfId="10315" xr:uid="{105D971B-707B-466A-A683-AFE0A7EAFBCE}"/>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E7DAA92C-E132-4A73-8BBE-6B1AD24DC290}"/>
    <cellStyle name="Normal 5 2 2 3 3 3 2 3" xfId="12873" xr:uid="{37032881-D11F-4C98-9FF4-775A961A7234}"/>
    <cellStyle name="Normal 5 2 2 3 3 3 3" xfId="5619" xr:uid="{00000000-0005-0000-0000-0000C7170000}"/>
    <cellStyle name="Normal 5 2 2 3 3 3 3 2" xfId="14945" xr:uid="{A73D40F1-2123-4596-9519-6D5E15FE5C2F}"/>
    <cellStyle name="Normal 5 2 2 3 3 3 4" xfId="10728" xr:uid="{F099119B-F66F-4FB7-B440-B41F4DA476D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A6B5C76D-63D1-4225-9D8A-B332043B8B36}"/>
    <cellStyle name="Normal 5 2 2 3 3 4 2 3" xfId="13286" xr:uid="{00F6EDFC-C0B3-4A2A-9892-08179FBAEE40}"/>
    <cellStyle name="Normal 5 2 2 3 3 4 3" xfId="6032" xr:uid="{00000000-0005-0000-0000-0000CB170000}"/>
    <cellStyle name="Normal 5 2 2 3 3 4 3 2" xfId="15358" xr:uid="{7076B9F7-BBFD-43D5-AF09-95BCE18D7774}"/>
    <cellStyle name="Normal 5 2 2 3 3 4 4" xfId="11141" xr:uid="{7D6F4296-A0DD-4E0B-8568-248BC8BC4E5E}"/>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866A1C17-6633-4A3C-9097-0D865045CFAC}"/>
    <cellStyle name="Normal 5 2 2 3 3 5 2 3" xfId="13699" xr:uid="{1E758DA2-FC12-48A9-B8D2-22AD38C4763C}"/>
    <cellStyle name="Normal 5 2 2 3 3 5 3" xfId="6445" xr:uid="{00000000-0005-0000-0000-0000CF170000}"/>
    <cellStyle name="Normal 5 2 2 3 3 5 3 2" xfId="15771" xr:uid="{03A4286B-B90B-41A5-8539-216894A537CD}"/>
    <cellStyle name="Normal 5 2 2 3 3 5 4" xfId="11554" xr:uid="{66603012-AA84-4966-B1BF-55BD4D45C4AE}"/>
    <cellStyle name="Normal 5 2 2 3 3 6" xfId="2575" xr:uid="{00000000-0005-0000-0000-0000D0170000}"/>
    <cellStyle name="Normal 5 2 2 3 3 6 2" xfId="6858" xr:uid="{00000000-0005-0000-0000-0000D1170000}"/>
    <cellStyle name="Normal 5 2 2 3 3 6 2 2" xfId="16184" xr:uid="{26D36E1D-1C28-49AA-B68C-F2E16B8C8289}"/>
    <cellStyle name="Normal 5 2 2 3 3 6 3" xfId="11967" xr:uid="{9A57EEE9-0059-4F6C-ACB6-1E955BEE29A5}"/>
    <cellStyle name="Normal 5 2 2 3 3 7" xfId="4793" xr:uid="{00000000-0005-0000-0000-0000D2170000}"/>
    <cellStyle name="Normal 5 2 2 3 3 7 2" xfId="14119" xr:uid="{092BB419-C34F-49C1-A03E-0B998AD412C3}"/>
    <cellStyle name="Normal 5 2 2 3 3 8" xfId="9035" xr:uid="{6AC57173-16AF-4847-A277-E4254AACDA36}"/>
    <cellStyle name="Normal 5 2 2 3 3 9" xfId="9902" xr:uid="{B67603F8-C719-4D97-8A9B-414407528186}"/>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31C5208C-7004-4A94-81B9-F406C81C27A9}"/>
    <cellStyle name="Normal 5 2 2 3 4 2 3" xfId="12457" xr:uid="{227EF43E-C653-4A3E-A0E5-4C9C5D638B39}"/>
    <cellStyle name="Normal 5 2 2 3 4 3" xfId="5203" xr:uid="{00000000-0005-0000-0000-0000D6170000}"/>
    <cellStyle name="Normal 5 2 2 3 4 3 2" xfId="14529" xr:uid="{548BF854-3E00-4A72-A99F-8103C4FC2AC0}"/>
    <cellStyle name="Normal 5 2 2 3 4 4" xfId="9253" xr:uid="{A5C3AAF9-67DD-41B1-A0BF-05B69F588F71}"/>
    <cellStyle name="Normal 5 2 2 3 4 5" xfId="10312" xr:uid="{B5E1BE1C-9033-428A-BDB6-AFCAFBF8E6D1}"/>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D1A26A14-0C22-43AC-805B-364533C1F324}"/>
    <cellStyle name="Normal 5 2 2 3 5 2 3" xfId="12870" xr:uid="{6946DFFF-5D91-4D36-94E9-CDC8E751C4FE}"/>
    <cellStyle name="Normal 5 2 2 3 5 3" xfId="5616" xr:uid="{00000000-0005-0000-0000-0000DA170000}"/>
    <cellStyle name="Normal 5 2 2 3 5 3 2" xfId="14942" xr:uid="{11BA4D75-91DB-4179-8591-B3F16D3368EB}"/>
    <cellStyle name="Normal 5 2 2 3 5 4" xfId="10725" xr:uid="{C8B20261-1AF9-44E0-961D-E5C854678614}"/>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F6AB821F-7374-40B7-83F9-7C429B1401D5}"/>
    <cellStyle name="Normal 5 2 2 3 6 2 3" xfId="13283" xr:uid="{92DC7695-8030-46B0-8583-0A53F119AC90}"/>
    <cellStyle name="Normal 5 2 2 3 6 3" xfId="6029" xr:uid="{00000000-0005-0000-0000-0000DE170000}"/>
    <cellStyle name="Normal 5 2 2 3 6 3 2" xfId="15355" xr:uid="{B33EBBB8-EDF4-4CA7-BC35-F8B232851E59}"/>
    <cellStyle name="Normal 5 2 2 3 6 4" xfId="11138" xr:uid="{A389000E-A5EC-4971-980D-8F8AD8D377BF}"/>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9D2718F6-FFD8-40A9-90D3-776729B24A29}"/>
    <cellStyle name="Normal 5 2 2 3 7 2 3" xfId="13696" xr:uid="{89E695C6-78A1-4B06-8E8C-ACB8DCB2D15F}"/>
    <cellStyle name="Normal 5 2 2 3 7 3" xfId="6442" xr:uid="{00000000-0005-0000-0000-0000E2170000}"/>
    <cellStyle name="Normal 5 2 2 3 7 3 2" xfId="15768" xr:uid="{001E3D9D-33C9-40F0-B93B-CDA2A4C137F9}"/>
    <cellStyle name="Normal 5 2 2 3 7 4" xfId="11551" xr:uid="{A932DF7F-C5FE-4EAD-84AA-71913E8D3D82}"/>
    <cellStyle name="Normal 5 2 2 3 8" xfId="2572" xr:uid="{00000000-0005-0000-0000-0000E3170000}"/>
    <cellStyle name="Normal 5 2 2 3 8 2" xfId="6855" xr:uid="{00000000-0005-0000-0000-0000E4170000}"/>
    <cellStyle name="Normal 5 2 2 3 8 2 2" xfId="16181" xr:uid="{FA5B9573-6A82-4E6D-A1F0-E032817DED35}"/>
    <cellStyle name="Normal 5 2 2 3 8 3" xfId="11964" xr:uid="{948E0495-D515-467E-9073-79FFA1F34D1E}"/>
    <cellStyle name="Normal 5 2 2 3 9" xfId="4790" xr:uid="{00000000-0005-0000-0000-0000E5170000}"/>
    <cellStyle name="Normal 5 2 2 3 9 2" xfId="14116" xr:uid="{22DF83EF-8879-41FD-94FC-CE4DB77141C8}"/>
    <cellStyle name="Normal 5 2 2 4" xfId="421" xr:uid="{00000000-0005-0000-0000-0000E6170000}"/>
    <cellStyle name="Normal 5 2 2 4 10" xfId="9903" xr:uid="{980774A6-5067-49B2-8986-8D404678E79F}"/>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8BB82E36-74B4-4652-88E6-9FABEFAF9DB8}"/>
    <cellStyle name="Normal 5 2 2 4 2 2 2 3" xfId="12462" xr:uid="{026BDCA2-2369-4D31-BC3C-8493DDCB443F}"/>
    <cellStyle name="Normal 5 2 2 4 2 2 3" xfId="5208" xr:uid="{00000000-0005-0000-0000-0000EB170000}"/>
    <cellStyle name="Normal 5 2 2 4 2 2 3 2" xfId="14534" xr:uid="{CB2E636F-1FE6-4F6B-A793-8F00203F46AD}"/>
    <cellStyle name="Normal 5 2 2 4 2 2 4" xfId="9488" xr:uid="{2997B11D-E810-48A4-BD3C-4498479B295E}"/>
    <cellStyle name="Normal 5 2 2 4 2 2 5" xfId="10317" xr:uid="{C5C153F5-0E93-4AEF-85B9-E7F3C74A4317}"/>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9F369F1D-531D-473C-AC44-28619EB54F63}"/>
    <cellStyle name="Normal 5 2 2 4 2 3 2 3" xfId="12875" xr:uid="{C4CD846E-CE17-4982-A3DB-C08F1DE37736}"/>
    <cellStyle name="Normal 5 2 2 4 2 3 3" xfId="5621" xr:uid="{00000000-0005-0000-0000-0000EF170000}"/>
    <cellStyle name="Normal 5 2 2 4 2 3 3 2" xfId="14947" xr:uid="{A0CA1B7F-929E-4443-AEE9-385ED465D9DE}"/>
    <cellStyle name="Normal 5 2 2 4 2 3 4" xfId="10730" xr:uid="{1D546540-7104-4EF3-AC20-B4B0C60D489B}"/>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24B9C9FC-A7A5-4EB0-A20F-2C0D3FD57BC9}"/>
    <cellStyle name="Normal 5 2 2 4 2 4 2 3" xfId="13288" xr:uid="{5EE90971-521C-431A-BD0D-EC430A58848E}"/>
    <cellStyle name="Normal 5 2 2 4 2 4 3" xfId="6034" xr:uid="{00000000-0005-0000-0000-0000F3170000}"/>
    <cellStyle name="Normal 5 2 2 4 2 4 3 2" xfId="15360" xr:uid="{8D9395B9-96C1-4470-913A-680AEE12FE6A}"/>
    <cellStyle name="Normal 5 2 2 4 2 4 4" xfId="11143" xr:uid="{E13408CC-A4EE-4356-9C95-97887738A904}"/>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8BF56F91-B059-4C3C-A79D-757786482534}"/>
    <cellStyle name="Normal 5 2 2 4 2 5 2 3" xfId="13701" xr:uid="{7E5CA1DF-5FA2-4008-B80A-802F627D9775}"/>
    <cellStyle name="Normal 5 2 2 4 2 5 3" xfId="6447" xr:uid="{00000000-0005-0000-0000-0000F7170000}"/>
    <cellStyle name="Normal 5 2 2 4 2 5 3 2" xfId="15773" xr:uid="{69A7AA19-9364-45E4-90CC-68297F425069}"/>
    <cellStyle name="Normal 5 2 2 4 2 5 4" xfId="11556" xr:uid="{D60F677B-A523-41A9-8F31-073DC3AB513E}"/>
    <cellStyle name="Normal 5 2 2 4 2 6" xfId="2577" xr:uid="{00000000-0005-0000-0000-0000F8170000}"/>
    <cellStyle name="Normal 5 2 2 4 2 6 2" xfId="6860" xr:uid="{00000000-0005-0000-0000-0000F9170000}"/>
    <cellStyle name="Normal 5 2 2 4 2 6 2 2" xfId="16186" xr:uid="{2437D0B3-D00A-4F42-A202-9900299A4E11}"/>
    <cellStyle name="Normal 5 2 2 4 2 6 3" xfId="11969" xr:uid="{B3051804-CEB9-48FF-A21B-557DD70204CC}"/>
    <cellStyle name="Normal 5 2 2 4 2 7" xfId="4795" xr:uid="{00000000-0005-0000-0000-0000FA170000}"/>
    <cellStyle name="Normal 5 2 2 4 2 7 2" xfId="14121" xr:uid="{8FC4C087-5A0E-4FE7-A95B-EDCF7854B834}"/>
    <cellStyle name="Normal 5 2 2 4 2 8" xfId="9063" xr:uid="{3B1AA107-8D7F-4938-A60C-EED41E9B9A2A}"/>
    <cellStyle name="Normal 5 2 2 4 2 9" xfId="9904" xr:uid="{FB8B1E51-F5D5-4942-9B57-F39825CB3EFF}"/>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99E65A77-7EC8-4C42-BC6D-E1677942A33F}"/>
    <cellStyle name="Normal 5 2 2 4 3 2 3" xfId="12461" xr:uid="{495D5CE1-6DCF-4C0C-8149-64B9EDCC9904}"/>
    <cellStyle name="Normal 5 2 2 4 3 3" xfId="5207" xr:uid="{00000000-0005-0000-0000-0000FE170000}"/>
    <cellStyle name="Normal 5 2 2 4 3 3 2" xfId="14533" xr:uid="{DAFC937B-B1C1-4F3B-9123-227817D4F994}"/>
    <cellStyle name="Normal 5 2 2 4 3 4" xfId="9281" xr:uid="{9304050F-95A7-4BE3-AD21-FEBB7D0875B2}"/>
    <cellStyle name="Normal 5 2 2 4 3 5" xfId="10316" xr:uid="{6006361E-34E6-4D25-9E85-220A88611C80}"/>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F2EF6539-34DF-4785-8B04-ECB2C92D31F9}"/>
    <cellStyle name="Normal 5 2 2 4 4 2 3" xfId="12874" xr:uid="{4DAE0A77-7A94-4CA1-837A-593994C850D0}"/>
    <cellStyle name="Normal 5 2 2 4 4 3" xfId="5620" xr:uid="{00000000-0005-0000-0000-000002180000}"/>
    <cellStyle name="Normal 5 2 2 4 4 3 2" xfId="14946" xr:uid="{13E5F120-0A31-4AB6-A4E5-6C40632A6A15}"/>
    <cellStyle name="Normal 5 2 2 4 4 4" xfId="10729" xr:uid="{FAAD86FE-0EF6-4A11-8080-EB2D3A77B46E}"/>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510DA5B8-CAF0-4066-8483-F30DE0A55184}"/>
    <cellStyle name="Normal 5 2 2 4 5 2 3" xfId="13287" xr:uid="{9FFFA04E-4D62-4627-A09C-42B2E9CCC038}"/>
    <cellStyle name="Normal 5 2 2 4 5 3" xfId="6033" xr:uid="{00000000-0005-0000-0000-000006180000}"/>
    <cellStyle name="Normal 5 2 2 4 5 3 2" xfId="15359" xr:uid="{8C2138D6-4AE5-420F-BDBE-8965E3B71C9C}"/>
    <cellStyle name="Normal 5 2 2 4 5 4" xfId="11142" xr:uid="{3A9A4F3C-E59F-48C4-8448-1126488BE38F}"/>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0D9C23D6-8DE7-4200-B308-043EB1862ECF}"/>
    <cellStyle name="Normal 5 2 2 4 6 2 3" xfId="13700" xr:uid="{204B7917-C5AE-4ABA-9F9B-CAB17ADA8FAB}"/>
    <cellStyle name="Normal 5 2 2 4 6 3" xfId="6446" xr:uid="{00000000-0005-0000-0000-00000A180000}"/>
    <cellStyle name="Normal 5 2 2 4 6 3 2" xfId="15772" xr:uid="{7AE1D131-4D16-43CD-B8CC-81F93152F731}"/>
    <cellStyle name="Normal 5 2 2 4 6 4" xfId="11555" xr:uid="{F40EC1FC-8356-4D50-B5B2-F7F7083756B4}"/>
    <cellStyle name="Normal 5 2 2 4 7" xfId="2576" xr:uid="{00000000-0005-0000-0000-00000B180000}"/>
    <cellStyle name="Normal 5 2 2 4 7 2" xfId="6859" xr:uid="{00000000-0005-0000-0000-00000C180000}"/>
    <cellStyle name="Normal 5 2 2 4 7 2 2" xfId="16185" xr:uid="{F5DDC77B-931E-4759-B52D-56771B0CEE07}"/>
    <cellStyle name="Normal 5 2 2 4 7 3" xfId="11968" xr:uid="{65E32B9F-8DA7-4A65-BF52-15CE8617B7A5}"/>
    <cellStyle name="Normal 5 2 2 4 8" xfId="4794" xr:uid="{00000000-0005-0000-0000-00000D180000}"/>
    <cellStyle name="Normal 5 2 2 4 8 2" xfId="14120" xr:uid="{07A9FCDD-20FB-435B-AC16-C5CC9C5FF354}"/>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4C7B77F9-9353-49CB-8173-E85E71B89631}"/>
    <cellStyle name="Normal 5 2 2 5 2 2 3" xfId="12463" xr:uid="{30F5336D-8EF3-41FD-94EB-61AE3DAD0B47}"/>
    <cellStyle name="Normal 5 2 2 5 2 3" xfId="5209" xr:uid="{00000000-0005-0000-0000-000012180000}"/>
    <cellStyle name="Normal 5 2 2 5 2 3 2" xfId="14535" xr:uid="{CAD6F2A6-938D-4B57-A054-49FED626783E}"/>
    <cellStyle name="Normal 5 2 2 5 2 4" xfId="9397" xr:uid="{3CB0B9A4-F907-4F52-ACFC-7970F7AF9B13}"/>
    <cellStyle name="Normal 5 2 2 5 2 5" xfId="10318" xr:uid="{52E0F4F4-32E4-4AD5-8F5F-88889CB47DEA}"/>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90EC9B4C-4D80-4133-BF4C-63D129F28344}"/>
    <cellStyle name="Normal 5 2 2 5 3 2 3" xfId="12876" xr:uid="{E910A05F-ED8D-4212-8707-D6940AC7FF04}"/>
    <cellStyle name="Normal 5 2 2 5 3 3" xfId="5622" xr:uid="{00000000-0005-0000-0000-000016180000}"/>
    <cellStyle name="Normal 5 2 2 5 3 3 2" xfId="14948" xr:uid="{F00676CE-A6A1-4100-AE23-50BD8D43523B}"/>
    <cellStyle name="Normal 5 2 2 5 3 4" xfId="10731" xr:uid="{17DDD162-1D86-40CA-A843-0FB3701FE8C2}"/>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DAADA525-53B3-4787-9EFE-F5C124F95E92}"/>
    <cellStyle name="Normal 5 2 2 5 4 2 3" xfId="13289" xr:uid="{4AB632AD-EBA4-4383-B37C-49A179927E2E}"/>
    <cellStyle name="Normal 5 2 2 5 4 3" xfId="6035" xr:uid="{00000000-0005-0000-0000-00001A180000}"/>
    <cellStyle name="Normal 5 2 2 5 4 3 2" xfId="15361" xr:uid="{8D491585-1195-4751-8779-BFECCFA8539D}"/>
    <cellStyle name="Normal 5 2 2 5 4 4" xfId="11144" xr:uid="{DE3DCFD2-1F14-411E-A23E-639A6EDFFFD1}"/>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C56AE308-57DC-4AA5-BA75-B24C87338843}"/>
    <cellStyle name="Normal 5 2 2 5 5 2 3" xfId="13702" xr:uid="{D83DD332-DD70-47C9-A892-0130117053C8}"/>
    <cellStyle name="Normal 5 2 2 5 5 3" xfId="6448" xr:uid="{00000000-0005-0000-0000-00001E180000}"/>
    <cellStyle name="Normal 5 2 2 5 5 3 2" xfId="15774" xr:uid="{7D41B7AC-17DB-4DED-8A1F-AD66A41F0EFD}"/>
    <cellStyle name="Normal 5 2 2 5 5 4" xfId="11557" xr:uid="{75B6FAB8-4CA8-44AB-B5F4-5951B73B65E6}"/>
    <cellStyle name="Normal 5 2 2 5 6" xfId="2578" xr:uid="{00000000-0005-0000-0000-00001F180000}"/>
    <cellStyle name="Normal 5 2 2 5 6 2" xfId="6861" xr:uid="{00000000-0005-0000-0000-000020180000}"/>
    <cellStyle name="Normal 5 2 2 5 6 2 2" xfId="16187" xr:uid="{1541DF6E-E49F-426B-854E-66E1C8D499A8}"/>
    <cellStyle name="Normal 5 2 2 5 6 3" xfId="11970" xr:uid="{A9F159F1-DB59-4FC1-88F4-23C67C3838C4}"/>
    <cellStyle name="Normal 5 2 2 5 7" xfId="4796" xr:uid="{00000000-0005-0000-0000-000021180000}"/>
    <cellStyle name="Normal 5 2 2 5 7 2" xfId="14122" xr:uid="{255C625B-B6CC-4C03-9D99-4969A098A9A5}"/>
    <cellStyle name="Normal 5 2 2 5 8" xfId="8972" xr:uid="{3CCC8856-6464-4309-A4F9-43F74A48C503}"/>
    <cellStyle name="Normal 5 2 2 5 9" xfId="9905" xr:uid="{E28ECB7C-5167-4C27-8A10-893D3D87D0E0}"/>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03D5C0D4-B823-4E2B-A018-7C6C80E76254}"/>
    <cellStyle name="Normal 5 2 2 6 2 3" xfId="12448" xr:uid="{9BAE1AC8-9E20-4200-A742-81D05AD1F1B4}"/>
    <cellStyle name="Normal 5 2 2 6 3" xfId="5194" xr:uid="{00000000-0005-0000-0000-000025180000}"/>
    <cellStyle name="Normal 5 2 2 6 3 2" xfId="14520" xr:uid="{765EE6C8-EFBE-42A6-821C-FD9221557059}"/>
    <cellStyle name="Normal 5 2 2 6 4" xfId="9175" xr:uid="{A0BC076A-DB75-4963-A17E-57836FA6391D}"/>
    <cellStyle name="Normal 5 2 2 6 5" xfId="10303" xr:uid="{E7CEE671-9BE3-4B1B-BF9D-E0BAF8C8149F}"/>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1374DA9A-F6E3-4082-A48E-26B6538CCACE}"/>
    <cellStyle name="Normal 5 2 2 7 2 3" xfId="12861" xr:uid="{483B3C5A-5417-46A2-AA14-DE4B572BCE0F}"/>
    <cellStyle name="Normal 5 2 2 7 3" xfId="5607" xr:uid="{00000000-0005-0000-0000-000029180000}"/>
    <cellStyle name="Normal 5 2 2 7 3 2" xfId="14933" xr:uid="{DAF5933D-E3CF-4837-A4FE-857050D54C1C}"/>
    <cellStyle name="Normal 5 2 2 7 4" xfId="10716" xr:uid="{4B3E12B3-EE3C-4DB4-87D9-35BF85D09C71}"/>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B0B6F7EB-FE78-497D-947C-F07BF167F258}"/>
    <cellStyle name="Normal 5 2 2 8 2 3" xfId="13274" xr:uid="{8917E588-6BE9-4415-8360-D132C83E3C88}"/>
    <cellStyle name="Normal 5 2 2 8 3" xfId="6020" xr:uid="{00000000-0005-0000-0000-00002D180000}"/>
    <cellStyle name="Normal 5 2 2 8 3 2" xfId="15346" xr:uid="{CB136170-AB51-4991-8180-1D9191B5DCB5}"/>
    <cellStyle name="Normal 5 2 2 8 4" xfId="11129" xr:uid="{1D1190F1-078F-4B3F-9B24-38A9A44EDCDC}"/>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A217323E-D3E6-4F43-BB46-DD11F74CE333}"/>
    <cellStyle name="Normal 5 2 2 9 2 3" xfId="13687" xr:uid="{E5DD018C-2319-4169-A5C4-C11E0D441939}"/>
    <cellStyle name="Normal 5 2 2 9 3" xfId="6433" xr:uid="{00000000-0005-0000-0000-000031180000}"/>
    <cellStyle name="Normal 5 2 2 9 3 2" xfId="15759" xr:uid="{6670B869-A831-4824-A921-959C5157AAAB}"/>
    <cellStyle name="Normal 5 2 2 9 4" xfId="11542" xr:uid="{F0A28BCA-8322-4193-913F-82BD66BBFEA7}"/>
    <cellStyle name="Normal 5 2 3" xfId="424" xr:uid="{00000000-0005-0000-0000-000032180000}"/>
    <cellStyle name="Normal 5 2 3 10" xfId="4797" xr:uid="{00000000-0005-0000-0000-000033180000}"/>
    <cellStyle name="Normal 5 2 3 10 2" xfId="14123" xr:uid="{090734C8-C607-4961-9A1B-CE8949C824B2}"/>
    <cellStyle name="Normal 5 2 3 11" xfId="8776" xr:uid="{883173D2-CE3E-48F3-8E13-32EAEF7B08C3}"/>
    <cellStyle name="Normal 5 2 3 12" xfId="9906" xr:uid="{3E77A116-8F1E-49D2-9995-CF2A1D0CDDB5}"/>
    <cellStyle name="Normal 5 2 3 2" xfId="425" xr:uid="{00000000-0005-0000-0000-000034180000}"/>
    <cellStyle name="Normal 5 2 3 2 10" xfId="8830" xr:uid="{287E15F2-6F23-4B3E-B8AA-9DE92D950FBA}"/>
    <cellStyle name="Normal 5 2 3 2 11" xfId="9907" xr:uid="{BB104B5A-E01D-4AF1-AA42-78416CEA23B7}"/>
    <cellStyle name="Normal 5 2 3 2 2" xfId="426" xr:uid="{00000000-0005-0000-0000-000035180000}"/>
    <cellStyle name="Normal 5 2 3 2 2 10" xfId="9908" xr:uid="{31FAA553-084D-45CC-AD84-581E06A60217}"/>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5FB8452E-38C7-4FAB-9FC2-B9E05A35569C}"/>
    <cellStyle name="Normal 5 2 3 2 2 2 2 2 3" xfId="12467" xr:uid="{B9F1B01C-9E06-4C8A-8160-418B9652EA94}"/>
    <cellStyle name="Normal 5 2 3 2 2 2 2 3" xfId="5213" xr:uid="{00000000-0005-0000-0000-00003A180000}"/>
    <cellStyle name="Normal 5 2 3 2 2 2 2 3 2" xfId="14539" xr:uid="{BDC432BA-DE3A-4109-9459-FAD1C2DF8987}"/>
    <cellStyle name="Normal 5 2 3 2 2 2 2 4" xfId="9565" xr:uid="{B33C5ECB-02D9-4BAF-B467-F38E8EEB7F6E}"/>
    <cellStyle name="Normal 5 2 3 2 2 2 2 5" xfId="10322" xr:uid="{0969DAA5-3E3A-40BA-9F60-99B97C8154E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59018E46-9024-4D5F-A28A-FE65B2F8EB11}"/>
    <cellStyle name="Normal 5 2 3 2 2 2 3 2 3" xfId="12880" xr:uid="{C6A5E58D-5A49-4FD0-8FAA-670CF09C4B5B}"/>
    <cellStyle name="Normal 5 2 3 2 2 2 3 3" xfId="5626" xr:uid="{00000000-0005-0000-0000-00003E180000}"/>
    <cellStyle name="Normal 5 2 3 2 2 2 3 3 2" xfId="14952" xr:uid="{C5182A42-0210-43A7-A465-60E73D1F1274}"/>
    <cellStyle name="Normal 5 2 3 2 2 2 3 4" xfId="10735" xr:uid="{E94FF7B7-11E4-42DA-8F92-F55444F7CACF}"/>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52D60D40-5C4A-4D09-A09D-EB938C7E7F0B}"/>
    <cellStyle name="Normal 5 2 3 2 2 2 4 2 3" xfId="13293" xr:uid="{B8F4618D-9F5C-4609-9751-ACC9A2AE3190}"/>
    <cellStyle name="Normal 5 2 3 2 2 2 4 3" xfId="6039" xr:uid="{00000000-0005-0000-0000-000042180000}"/>
    <cellStyle name="Normal 5 2 3 2 2 2 4 3 2" xfId="15365" xr:uid="{382ECA20-1107-49B4-B25E-7B7589988BB2}"/>
    <cellStyle name="Normal 5 2 3 2 2 2 4 4" xfId="11148" xr:uid="{ED925B58-18BE-409E-AC07-57CE08FDB3F9}"/>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09F1010E-6C9A-44BA-8069-478C331E11FB}"/>
    <cellStyle name="Normal 5 2 3 2 2 2 5 2 3" xfId="13706" xr:uid="{A701B694-9F38-4428-B0FD-53164266234D}"/>
    <cellStyle name="Normal 5 2 3 2 2 2 5 3" xfId="6452" xr:uid="{00000000-0005-0000-0000-000046180000}"/>
    <cellStyle name="Normal 5 2 3 2 2 2 5 3 2" xfId="15778" xr:uid="{D0FB4D51-EB41-40AF-BE84-EB9D11B8FA17}"/>
    <cellStyle name="Normal 5 2 3 2 2 2 5 4" xfId="11561" xr:uid="{B88843D3-44B2-4587-AB76-9C7D48A98733}"/>
    <cellStyle name="Normal 5 2 3 2 2 2 6" xfId="2582" xr:uid="{00000000-0005-0000-0000-000047180000}"/>
    <cellStyle name="Normal 5 2 3 2 2 2 6 2" xfId="6865" xr:uid="{00000000-0005-0000-0000-000048180000}"/>
    <cellStyle name="Normal 5 2 3 2 2 2 6 2 2" xfId="16191" xr:uid="{C8268A67-C302-4546-99FF-DCD31EF84B00}"/>
    <cellStyle name="Normal 5 2 3 2 2 2 6 3" xfId="11974" xr:uid="{4C8CEBA6-120C-4477-8E8D-876DF1BE7518}"/>
    <cellStyle name="Normal 5 2 3 2 2 2 7" xfId="4800" xr:uid="{00000000-0005-0000-0000-000049180000}"/>
    <cellStyle name="Normal 5 2 3 2 2 2 7 2" xfId="14126" xr:uid="{3AF968BF-74A1-45CC-A1F0-54A144CE128C}"/>
    <cellStyle name="Normal 5 2 3 2 2 2 8" xfId="9140" xr:uid="{175A16DB-BA54-4083-AB68-1FA46DB27A86}"/>
    <cellStyle name="Normal 5 2 3 2 2 2 9" xfId="9909" xr:uid="{A3481AD9-7FE4-4CE1-8D24-052B4997B2EA}"/>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ED07F459-B0ED-4751-80F0-1EC5E44D6E9A}"/>
    <cellStyle name="Normal 5 2 3 2 2 3 2 3" xfId="12466" xr:uid="{7BCB2149-6C2F-4DBB-BAFA-30CB8210481F}"/>
    <cellStyle name="Normal 5 2 3 2 2 3 3" xfId="5212" xr:uid="{00000000-0005-0000-0000-00004D180000}"/>
    <cellStyle name="Normal 5 2 3 2 2 3 3 2" xfId="14538" xr:uid="{77C6F7E2-BE6D-49EE-AB34-EDEB89B80A29}"/>
    <cellStyle name="Normal 5 2 3 2 2 3 4" xfId="9358" xr:uid="{5B196E7D-8DD9-4C59-A83C-7626B0E60040}"/>
    <cellStyle name="Normal 5 2 3 2 2 3 5" xfId="10321" xr:uid="{35A9500C-D89A-4A6C-ACD1-131C17A24513}"/>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B9773B45-5F51-4314-85B4-C0AD5968BFAD}"/>
    <cellStyle name="Normal 5 2 3 2 2 4 2 3" xfId="12879" xr:uid="{38371ECA-0AC6-40E6-B2F4-A14B445290BB}"/>
    <cellStyle name="Normal 5 2 3 2 2 4 3" xfId="5625" xr:uid="{00000000-0005-0000-0000-000051180000}"/>
    <cellStyle name="Normal 5 2 3 2 2 4 3 2" xfId="14951" xr:uid="{222D4DE7-C07A-405F-B5FD-53A1C639D5CE}"/>
    <cellStyle name="Normal 5 2 3 2 2 4 4" xfId="10734" xr:uid="{4BCC29E1-7BAD-484E-9757-107B5EEBC59A}"/>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A1644536-7147-4075-89F5-A18DD2A021A5}"/>
    <cellStyle name="Normal 5 2 3 2 2 5 2 3" xfId="13292" xr:uid="{B4A92CB0-5096-4E67-9EB8-72592B241ABE}"/>
    <cellStyle name="Normal 5 2 3 2 2 5 3" xfId="6038" xr:uid="{00000000-0005-0000-0000-000055180000}"/>
    <cellStyle name="Normal 5 2 3 2 2 5 3 2" xfId="15364" xr:uid="{422390CF-CF40-4EB6-8F31-BC81A18E8263}"/>
    <cellStyle name="Normal 5 2 3 2 2 5 4" xfId="11147" xr:uid="{2C5A6835-FBC7-43F8-A7D5-ABEDCB68D1AF}"/>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E7E72A96-47B0-45E5-B1BB-4A5F7A524589}"/>
    <cellStyle name="Normal 5 2 3 2 2 6 2 3" xfId="13705" xr:uid="{EAF3BDEE-7A43-4117-950A-7A28E8376530}"/>
    <cellStyle name="Normal 5 2 3 2 2 6 3" xfId="6451" xr:uid="{00000000-0005-0000-0000-000059180000}"/>
    <cellStyle name="Normal 5 2 3 2 2 6 3 2" xfId="15777" xr:uid="{A5C36F89-1DB6-4C7E-8FC3-5EDCF3908562}"/>
    <cellStyle name="Normal 5 2 3 2 2 6 4" xfId="11560" xr:uid="{FD28970A-BFF3-42F3-8A6C-ADBE18997143}"/>
    <cellStyle name="Normal 5 2 3 2 2 7" xfId="2581" xr:uid="{00000000-0005-0000-0000-00005A180000}"/>
    <cellStyle name="Normal 5 2 3 2 2 7 2" xfId="6864" xr:uid="{00000000-0005-0000-0000-00005B180000}"/>
    <cellStyle name="Normal 5 2 3 2 2 7 2 2" xfId="16190" xr:uid="{11E6DDF0-FC01-465B-8341-390F8DCD5C4E}"/>
    <cellStyle name="Normal 5 2 3 2 2 7 3" xfId="11973" xr:uid="{94726044-3F30-4BE3-B643-537E9E4B9E77}"/>
    <cellStyle name="Normal 5 2 3 2 2 8" xfId="4799" xr:uid="{00000000-0005-0000-0000-00005C180000}"/>
    <cellStyle name="Normal 5 2 3 2 2 8 2" xfId="14125" xr:uid="{AA62AE4C-127A-44A4-964F-CC4A1CDF86D2}"/>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3B96F570-4FF3-48D6-9A90-3494FF5910D2}"/>
    <cellStyle name="Normal 5 2 3 2 3 2 2 3" xfId="12468" xr:uid="{C55333F0-4824-4C49-A70A-0CD73F540A80}"/>
    <cellStyle name="Normal 5 2 3 2 3 2 3" xfId="5214" xr:uid="{00000000-0005-0000-0000-000061180000}"/>
    <cellStyle name="Normal 5 2 3 2 3 2 3 2" xfId="14540" xr:uid="{DD41B70C-4095-4108-A398-E51C389552E6}"/>
    <cellStyle name="Normal 5 2 3 2 3 2 4" xfId="9462" xr:uid="{B4C14F1A-A88A-428F-A7F8-BAFD7E5CD045}"/>
    <cellStyle name="Normal 5 2 3 2 3 2 5" xfId="10323" xr:uid="{FC1F461C-A2E7-49AB-A401-3F999ADD47E2}"/>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BB7806A0-57FE-4B15-9C47-8C59D7986562}"/>
    <cellStyle name="Normal 5 2 3 2 3 3 2 3" xfId="12881" xr:uid="{F385DF1D-A4E5-4542-B69A-6A9BF0647B02}"/>
    <cellStyle name="Normal 5 2 3 2 3 3 3" xfId="5627" xr:uid="{00000000-0005-0000-0000-000065180000}"/>
    <cellStyle name="Normal 5 2 3 2 3 3 3 2" xfId="14953" xr:uid="{A6DEDFDC-5B82-4991-91AC-F4BAB1383D50}"/>
    <cellStyle name="Normal 5 2 3 2 3 3 4" xfId="10736" xr:uid="{F96CB169-1893-4203-B93D-43E903283D22}"/>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0B64FF55-FAEE-4CA4-98A9-788005C054FD}"/>
    <cellStyle name="Normal 5 2 3 2 3 4 2 3" xfId="13294" xr:uid="{0877ABAD-6B48-457F-863B-108899452593}"/>
    <cellStyle name="Normal 5 2 3 2 3 4 3" xfId="6040" xr:uid="{00000000-0005-0000-0000-000069180000}"/>
    <cellStyle name="Normal 5 2 3 2 3 4 3 2" xfId="15366" xr:uid="{25B1B0F4-F43C-4435-B0EC-853E6D53E2D9}"/>
    <cellStyle name="Normal 5 2 3 2 3 4 4" xfId="11149" xr:uid="{EE054546-48D0-4E3D-AB59-E440776733F2}"/>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92895246-EC06-490A-BF8A-9FB281D64E94}"/>
    <cellStyle name="Normal 5 2 3 2 3 5 2 3" xfId="13707" xr:uid="{7EDF1BB1-5CB6-4D5A-A8A8-DCABCB998DF7}"/>
    <cellStyle name="Normal 5 2 3 2 3 5 3" xfId="6453" xr:uid="{00000000-0005-0000-0000-00006D180000}"/>
    <cellStyle name="Normal 5 2 3 2 3 5 3 2" xfId="15779" xr:uid="{512C1CF4-1073-45B4-93E9-50F25589ED54}"/>
    <cellStyle name="Normal 5 2 3 2 3 5 4" xfId="11562" xr:uid="{7835D169-C395-4029-83A2-8076E9A803D1}"/>
    <cellStyle name="Normal 5 2 3 2 3 6" xfId="2583" xr:uid="{00000000-0005-0000-0000-00006E180000}"/>
    <cellStyle name="Normal 5 2 3 2 3 6 2" xfId="6866" xr:uid="{00000000-0005-0000-0000-00006F180000}"/>
    <cellStyle name="Normal 5 2 3 2 3 6 2 2" xfId="16192" xr:uid="{C236F03E-E6BE-4288-9E70-F73EF3BAB345}"/>
    <cellStyle name="Normal 5 2 3 2 3 6 3" xfId="11975" xr:uid="{DE76D49E-49DB-47A6-AE53-7690F0CBBE6C}"/>
    <cellStyle name="Normal 5 2 3 2 3 7" xfId="4801" xr:uid="{00000000-0005-0000-0000-000070180000}"/>
    <cellStyle name="Normal 5 2 3 2 3 7 2" xfId="14127" xr:uid="{D87DE4F9-B92D-45BA-86A4-5F37E187C96E}"/>
    <cellStyle name="Normal 5 2 3 2 3 8" xfId="9037" xr:uid="{EED46D7F-EFCD-4AC1-931D-AB06B694E7BE}"/>
    <cellStyle name="Normal 5 2 3 2 3 9" xfId="9910" xr:uid="{7A422431-BF97-45B6-BF82-9ECE566C5114}"/>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3B0CCD60-0800-43F0-8893-C1881C558F67}"/>
    <cellStyle name="Normal 5 2 3 2 4 2 3" xfId="12465" xr:uid="{C867EF6B-FF2A-4C35-931F-A38F1BF3DF81}"/>
    <cellStyle name="Normal 5 2 3 2 4 3" xfId="5211" xr:uid="{00000000-0005-0000-0000-000074180000}"/>
    <cellStyle name="Normal 5 2 3 2 4 3 2" xfId="14537" xr:uid="{840D3E2E-FE69-4CBA-82A7-957D6F10206D}"/>
    <cellStyle name="Normal 5 2 3 2 4 4" xfId="9255" xr:uid="{C5A161BB-6C4F-4A9D-BBA7-7500B0B26A70}"/>
    <cellStyle name="Normal 5 2 3 2 4 5" xfId="10320" xr:uid="{F514765A-7210-459F-A04B-CC03B15921A1}"/>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2482D2D3-802A-4772-95D4-FB6DCAA0633B}"/>
    <cellStyle name="Normal 5 2 3 2 5 2 3" xfId="12878" xr:uid="{B6A2AAE4-5E07-424B-B989-25B259F1A060}"/>
    <cellStyle name="Normal 5 2 3 2 5 3" xfId="5624" xr:uid="{00000000-0005-0000-0000-000078180000}"/>
    <cellStyle name="Normal 5 2 3 2 5 3 2" xfId="14950" xr:uid="{C513634F-4CE8-4221-A12F-E11F8FD37E8B}"/>
    <cellStyle name="Normal 5 2 3 2 5 4" xfId="10733" xr:uid="{1FD52020-5360-4A28-B5BC-7AC7DD028009}"/>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CF1BBF44-6242-46A0-A650-2A10F3BA3BF4}"/>
    <cellStyle name="Normal 5 2 3 2 6 2 3" xfId="13291" xr:uid="{B49E3080-2328-4AF8-916A-B63CA18C14B2}"/>
    <cellStyle name="Normal 5 2 3 2 6 3" xfId="6037" xr:uid="{00000000-0005-0000-0000-00007C180000}"/>
    <cellStyle name="Normal 5 2 3 2 6 3 2" xfId="15363" xr:uid="{716DCC42-FD45-4AB6-9EFE-50E17ECEE1A1}"/>
    <cellStyle name="Normal 5 2 3 2 6 4" xfId="11146" xr:uid="{C1B009CB-3477-4B9E-A08D-E273169B6315}"/>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05AD40F2-6980-45AB-A07F-E75891A8114B}"/>
    <cellStyle name="Normal 5 2 3 2 7 2 3" xfId="13704" xr:uid="{065E8FB9-6D19-4FDC-82F6-BDBC9C3FAE59}"/>
    <cellStyle name="Normal 5 2 3 2 7 3" xfId="6450" xr:uid="{00000000-0005-0000-0000-000080180000}"/>
    <cellStyle name="Normal 5 2 3 2 7 3 2" xfId="15776" xr:uid="{FC43549C-1B73-44BE-BC60-2CB64CFB1AD9}"/>
    <cellStyle name="Normal 5 2 3 2 7 4" xfId="11559" xr:uid="{86CA1F07-C96C-4E0A-97D9-DA1260C246A7}"/>
    <cellStyle name="Normal 5 2 3 2 8" xfId="2580" xr:uid="{00000000-0005-0000-0000-000081180000}"/>
    <cellStyle name="Normal 5 2 3 2 8 2" xfId="6863" xr:uid="{00000000-0005-0000-0000-000082180000}"/>
    <cellStyle name="Normal 5 2 3 2 8 2 2" xfId="16189" xr:uid="{B18DF8BA-D8ED-44FB-A350-05E0674C184B}"/>
    <cellStyle name="Normal 5 2 3 2 8 3" xfId="11972" xr:uid="{65E10777-A0B6-402E-A721-CE928B5F2F82}"/>
    <cellStyle name="Normal 5 2 3 2 9" xfId="4798" xr:uid="{00000000-0005-0000-0000-000083180000}"/>
    <cellStyle name="Normal 5 2 3 2 9 2" xfId="14124" xr:uid="{97DEFDDB-037A-4255-92BE-CA0A186455B6}"/>
    <cellStyle name="Normal 5 2 3 3" xfId="429" xr:uid="{00000000-0005-0000-0000-000084180000}"/>
    <cellStyle name="Normal 5 2 3 3 10" xfId="9911" xr:uid="{25DAD260-724E-4DF7-896B-C8996E792097}"/>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6A9B14D5-FD47-4FA2-9608-906DDE0CCCED}"/>
    <cellStyle name="Normal 5 2 3 3 2 2 2 3" xfId="12470" xr:uid="{2CAC118D-939E-4BA8-B026-A09FE9F6F9B6}"/>
    <cellStyle name="Normal 5 2 3 3 2 2 3" xfId="5216" xr:uid="{00000000-0005-0000-0000-000089180000}"/>
    <cellStyle name="Normal 5 2 3 3 2 2 3 2" xfId="14542" xr:uid="{1BBF5272-2C5D-4BE8-B6A2-F93441559EA3}"/>
    <cellStyle name="Normal 5 2 3 3 2 2 4" xfId="9511" xr:uid="{75EF02F8-0397-4B30-A858-343ADCA7C08D}"/>
    <cellStyle name="Normal 5 2 3 3 2 2 5" xfId="10325" xr:uid="{4599CE18-7993-4726-B436-AF380BF0CC5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7F0D6C49-4813-4CD6-86A1-33DA6EB8E77B}"/>
    <cellStyle name="Normal 5 2 3 3 2 3 2 3" xfId="12883" xr:uid="{4E6C4813-CF70-47CC-8DDA-E68D727B4516}"/>
    <cellStyle name="Normal 5 2 3 3 2 3 3" xfId="5629" xr:uid="{00000000-0005-0000-0000-00008D180000}"/>
    <cellStyle name="Normal 5 2 3 3 2 3 3 2" xfId="14955" xr:uid="{18F5E302-7964-428C-98AE-F4D35C145361}"/>
    <cellStyle name="Normal 5 2 3 3 2 3 4" xfId="10738" xr:uid="{D32CC2D7-7937-48A3-81D8-569F7BDB4758}"/>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5326332F-B678-4F27-A913-26F9124116AF}"/>
    <cellStyle name="Normal 5 2 3 3 2 4 2 3" xfId="13296" xr:uid="{4DAE3602-FB45-4DD5-BC57-5394CC1E7D1C}"/>
    <cellStyle name="Normal 5 2 3 3 2 4 3" xfId="6042" xr:uid="{00000000-0005-0000-0000-000091180000}"/>
    <cellStyle name="Normal 5 2 3 3 2 4 3 2" xfId="15368" xr:uid="{67769EA5-01A7-468A-9EFA-4991797DE348}"/>
    <cellStyle name="Normal 5 2 3 3 2 4 4" xfId="11151" xr:uid="{22984FE7-635B-4687-81DC-AA5CECAE869E}"/>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24ED3A6E-F660-46B0-8CDC-E6701EFBE454}"/>
    <cellStyle name="Normal 5 2 3 3 2 5 2 3" xfId="13709" xr:uid="{12F696F3-D230-48CC-8E82-DF46C8B68FF0}"/>
    <cellStyle name="Normal 5 2 3 3 2 5 3" xfId="6455" xr:uid="{00000000-0005-0000-0000-000095180000}"/>
    <cellStyle name="Normal 5 2 3 3 2 5 3 2" xfId="15781" xr:uid="{835C0C74-9CC1-46E8-89E5-9DFEA1465D83}"/>
    <cellStyle name="Normal 5 2 3 3 2 5 4" xfId="11564" xr:uid="{965576F6-AB69-4E3E-B601-7AEDE20DD2F3}"/>
    <cellStyle name="Normal 5 2 3 3 2 6" xfId="2585" xr:uid="{00000000-0005-0000-0000-000096180000}"/>
    <cellStyle name="Normal 5 2 3 3 2 6 2" xfId="6868" xr:uid="{00000000-0005-0000-0000-000097180000}"/>
    <cellStyle name="Normal 5 2 3 3 2 6 2 2" xfId="16194" xr:uid="{2C3FE6C6-E950-4156-A29B-86A46E57FCC5}"/>
    <cellStyle name="Normal 5 2 3 3 2 6 3" xfId="11977" xr:uid="{27FCD76E-E4A7-4BD3-A9B2-71F2210ED02C}"/>
    <cellStyle name="Normal 5 2 3 3 2 7" xfId="4803" xr:uid="{00000000-0005-0000-0000-000098180000}"/>
    <cellStyle name="Normal 5 2 3 3 2 7 2" xfId="14129" xr:uid="{EF2C8400-CB1B-48B2-AE53-5234F82A2B97}"/>
    <cellStyle name="Normal 5 2 3 3 2 8" xfId="9086" xr:uid="{442E5F61-F00C-4774-822F-4985AB3E1CB7}"/>
    <cellStyle name="Normal 5 2 3 3 2 9" xfId="9912" xr:uid="{6B0E686B-27FE-4170-A6C4-4CD14A7C4B61}"/>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4AF7A9A3-0F8E-472F-BDB2-30B9749AD988}"/>
    <cellStyle name="Normal 5 2 3 3 3 2 3" xfId="12469" xr:uid="{CF6AFBB6-7F83-446E-95E5-22A5D40EECD0}"/>
    <cellStyle name="Normal 5 2 3 3 3 3" xfId="5215" xr:uid="{00000000-0005-0000-0000-00009C180000}"/>
    <cellStyle name="Normal 5 2 3 3 3 3 2" xfId="14541" xr:uid="{35BD2153-4464-456B-8C34-950225469977}"/>
    <cellStyle name="Normal 5 2 3 3 3 4" xfId="9304" xr:uid="{2C783A77-F32A-4E64-807E-062B95DB0310}"/>
    <cellStyle name="Normal 5 2 3 3 3 5" xfId="10324" xr:uid="{D1D148B8-4FB0-4085-BAAE-FF7DCBACAC84}"/>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E6356217-EDD5-47D5-9B18-8F326755C724}"/>
    <cellStyle name="Normal 5 2 3 3 4 2 3" xfId="12882" xr:uid="{289D7BD4-9730-482A-9EC2-4237290F7BCC}"/>
    <cellStyle name="Normal 5 2 3 3 4 3" xfId="5628" xr:uid="{00000000-0005-0000-0000-0000A0180000}"/>
    <cellStyle name="Normal 5 2 3 3 4 3 2" xfId="14954" xr:uid="{D9C4E389-9BFA-497E-8D9F-9332E94F325D}"/>
    <cellStyle name="Normal 5 2 3 3 4 4" xfId="10737" xr:uid="{203A87B6-F548-4E40-A049-6F555EAC9FE1}"/>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7A639369-CC9E-4B2F-A0F2-E4BA8D7C2BD8}"/>
    <cellStyle name="Normal 5 2 3 3 5 2 3" xfId="13295" xr:uid="{A8ADAF38-5BA1-476B-9DC9-EC3397673A1D}"/>
    <cellStyle name="Normal 5 2 3 3 5 3" xfId="6041" xr:uid="{00000000-0005-0000-0000-0000A4180000}"/>
    <cellStyle name="Normal 5 2 3 3 5 3 2" xfId="15367" xr:uid="{E8BF3372-0418-4A11-A8D5-F2EB1A21637D}"/>
    <cellStyle name="Normal 5 2 3 3 5 4" xfId="11150" xr:uid="{38AD3BB6-E6F1-41EA-AAC1-AAD491EE5A0C}"/>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811BE571-F823-4763-9284-47EAB184DDA9}"/>
    <cellStyle name="Normal 5 2 3 3 6 2 3" xfId="13708" xr:uid="{D0E09F85-67FD-4B0B-9EA9-CBF1783FD9D8}"/>
    <cellStyle name="Normal 5 2 3 3 6 3" xfId="6454" xr:uid="{00000000-0005-0000-0000-0000A8180000}"/>
    <cellStyle name="Normal 5 2 3 3 6 3 2" xfId="15780" xr:uid="{6DD9DA4D-5897-4DA0-99D6-CED4DF774374}"/>
    <cellStyle name="Normal 5 2 3 3 6 4" xfId="11563" xr:uid="{A456BB48-50E5-4A26-B457-9E4048153D19}"/>
    <cellStyle name="Normal 5 2 3 3 7" xfId="2584" xr:uid="{00000000-0005-0000-0000-0000A9180000}"/>
    <cellStyle name="Normal 5 2 3 3 7 2" xfId="6867" xr:uid="{00000000-0005-0000-0000-0000AA180000}"/>
    <cellStyle name="Normal 5 2 3 3 7 2 2" xfId="16193" xr:uid="{0976ACB2-CD06-4E4B-A714-E4F771720895}"/>
    <cellStyle name="Normal 5 2 3 3 7 3" xfId="11976" xr:uid="{7444031B-98AC-4F67-B552-1B7227D161E3}"/>
    <cellStyle name="Normal 5 2 3 3 8" xfId="4802" xr:uid="{00000000-0005-0000-0000-0000AB180000}"/>
    <cellStyle name="Normal 5 2 3 3 8 2" xfId="14128" xr:uid="{85A9091B-9562-403B-A11D-2A1610E81A64}"/>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FFBB5B23-7FEF-4863-BEB6-AEF444CDA144}"/>
    <cellStyle name="Normal 5 2 3 4 2 2 3" xfId="12471" xr:uid="{201779A4-F468-42C5-ADB0-6EB18183DDB9}"/>
    <cellStyle name="Normal 5 2 3 4 2 3" xfId="5217" xr:uid="{00000000-0005-0000-0000-0000B0180000}"/>
    <cellStyle name="Normal 5 2 3 4 2 3 2" xfId="14543" xr:uid="{EA07B156-A3DF-44AC-8362-C822622296DA}"/>
    <cellStyle name="Normal 5 2 3 4 2 4" xfId="9408" xr:uid="{3B6F9C6F-3D7C-45F8-99FE-451C0F8CED36}"/>
    <cellStyle name="Normal 5 2 3 4 2 5" xfId="10326" xr:uid="{BB927D63-A0C1-4CF9-A257-D722E7FD5C15}"/>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02128500-07EE-4CE5-B301-9467DA415581}"/>
    <cellStyle name="Normal 5 2 3 4 3 2 3" xfId="12884" xr:uid="{C0370899-5600-4B23-BAD4-4722616E5D7B}"/>
    <cellStyle name="Normal 5 2 3 4 3 3" xfId="5630" xr:uid="{00000000-0005-0000-0000-0000B4180000}"/>
    <cellStyle name="Normal 5 2 3 4 3 3 2" xfId="14956" xr:uid="{3A7D0825-DEEC-417A-8045-F376A2C9F281}"/>
    <cellStyle name="Normal 5 2 3 4 3 4" xfId="10739" xr:uid="{DD3D8C30-E152-4D3A-8BB4-0D30F5A4A748}"/>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A3D460B0-EF20-4C9E-98F3-A28B0BCDA472}"/>
    <cellStyle name="Normal 5 2 3 4 4 2 3" xfId="13297" xr:uid="{D39BC611-FB00-4B2A-9EAA-8F6BA7522618}"/>
    <cellStyle name="Normal 5 2 3 4 4 3" xfId="6043" xr:uid="{00000000-0005-0000-0000-0000B8180000}"/>
    <cellStyle name="Normal 5 2 3 4 4 3 2" xfId="15369" xr:uid="{52D67264-B829-412D-BC07-49F29B23D68C}"/>
    <cellStyle name="Normal 5 2 3 4 4 4" xfId="11152" xr:uid="{1533CAA2-0FCB-48EE-ACE6-192E0BCFE93A}"/>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1B61FF98-B9FD-4F85-A20E-7616D13E3CB1}"/>
    <cellStyle name="Normal 5 2 3 4 5 2 3" xfId="13710" xr:uid="{D58ACA7B-FC47-408E-AB86-3B2D5A761017}"/>
    <cellStyle name="Normal 5 2 3 4 5 3" xfId="6456" xr:uid="{00000000-0005-0000-0000-0000BC180000}"/>
    <cellStyle name="Normal 5 2 3 4 5 3 2" xfId="15782" xr:uid="{9F0221AC-808D-4614-AA8E-E4C93BFABED9}"/>
    <cellStyle name="Normal 5 2 3 4 5 4" xfId="11565" xr:uid="{426F1B52-7E8E-449F-949B-615808BA8B31}"/>
    <cellStyle name="Normal 5 2 3 4 6" xfId="2586" xr:uid="{00000000-0005-0000-0000-0000BD180000}"/>
    <cellStyle name="Normal 5 2 3 4 6 2" xfId="6869" xr:uid="{00000000-0005-0000-0000-0000BE180000}"/>
    <cellStyle name="Normal 5 2 3 4 6 2 2" xfId="16195" xr:uid="{F55B57C0-10F4-461A-BEBD-3DD62E004295}"/>
    <cellStyle name="Normal 5 2 3 4 6 3" xfId="11978" xr:uid="{0CD51B5B-E9DB-4628-B126-C749930D8B85}"/>
    <cellStyle name="Normal 5 2 3 4 7" xfId="4804" xr:uid="{00000000-0005-0000-0000-0000BF180000}"/>
    <cellStyle name="Normal 5 2 3 4 7 2" xfId="14130" xr:uid="{84E62DDA-E954-4041-B4B5-FBF046D6958E}"/>
    <cellStyle name="Normal 5 2 3 4 8" xfId="8983" xr:uid="{07388FCC-03DE-4CE8-89CB-9C92F8174E24}"/>
    <cellStyle name="Normal 5 2 3 4 9" xfId="9913" xr:uid="{E89CC0D2-410C-47A5-A499-B78F15E472FC}"/>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22C2B3B8-E5E6-4262-B61E-36E426BCA4BF}"/>
    <cellStyle name="Normal 5 2 3 5 2 3" xfId="12464" xr:uid="{69C78E37-9F51-4D05-9D06-ADF0E86E8F87}"/>
    <cellStyle name="Normal 5 2 3 5 3" xfId="5210" xr:uid="{00000000-0005-0000-0000-0000C3180000}"/>
    <cellStyle name="Normal 5 2 3 5 3 2" xfId="14536" xr:uid="{C750B1C8-EECE-474F-B029-D2C95F266D26}"/>
    <cellStyle name="Normal 5 2 3 5 4" xfId="9200" xr:uid="{13DE827A-4007-427A-9869-ADBBE6B70993}"/>
    <cellStyle name="Normal 5 2 3 5 5" xfId="10319" xr:uid="{8C50A308-8867-4954-B3F3-A537B4F25A00}"/>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EEF4B3A9-12E5-40D3-A5CA-D29FBC3C2A03}"/>
    <cellStyle name="Normal 5 2 3 6 2 3" xfId="12877" xr:uid="{FA8E7A8D-8BF4-444D-BCBC-4E8D5A019486}"/>
    <cellStyle name="Normal 5 2 3 6 3" xfId="5623" xr:uid="{00000000-0005-0000-0000-0000C7180000}"/>
    <cellStyle name="Normal 5 2 3 6 3 2" xfId="14949" xr:uid="{A483762C-AF5F-455A-8A67-F83F222E2730}"/>
    <cellStyle name="Normal 5 2 3 6 4" xfId="10732" xr:uid="{FFE1CC8F-469D-4F36-B5AE-CCAE9255815D}"/>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548E4535-34F3-4729-B76B-5204BC4CC595}"/>
    <cellStyle name="Normal 5 2 3 7 2 3" xfId="13290" xr:uid="{A60E4FAE-9D57-49EF-AFE3-97AAE8B39B32}"/>
    <cellStyle name="Normal 5 2 3 7 3" xfId="6036" xr:uid="{00000000-0005-0000-0000-0000CB180000}"/>
    <cellStyle name="Normal 5 2 3 7 3 2" xfId="15362" xr:uid="{6FFA1E25-9427-4581-915A-59529FE5BF5D}"/>
    <cellStyle name="Normal 5 2 3 7 4" xfId="11145" xr:uid="{CD11885F-2DAF-4533-83BA-EAEED62E2136}"/>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C89DA069-F0AD-42DF-A095-569FC8469907}"/>
    <cellStyle name="Normal 5 2 3 8 2 3" xfId="13703" xr:uid="{C4D29AB0-062B-4357-A67B-5B26492343AB}"/>
    <cellStyle name="Normal 5 2 3 8 3" xfId="6449" xr:uid="{00000000-0005-0000-0000-0000CF180000}"/>
    <cellStyle name="Normal 5 2 3 8 3 2" xfId="15775" xr:uid="{319F3639-38CA-41B6-BF0F-B4760B1671D3}"/>
    <cellStyle name="Normal 5 2 3 8 4" xfId="11558" xr:uid="{C4616641-ADA4-49CD-8B8D-A48C7254A220}"/>
    <cellStyle name="Normal 5 2 3 9" xfId="2579" xr:uid="{00000000-0005-0000-0000-0000D0180000}"/>
    <cellStyle name="Normal 5 2 3 9 2" xfId="6862" xr:uid="{00000000-0005-0000-0000-0000D1180000}"/>
    <cellStyle name="Normal 5 2 3 9 2 2" xfId="16188" xr:uid="{0767FF53-579C-4021-ADF7-89038477C46E}"/>
    <cellStyle name="Normal 5 2 3 9 3" xfId="11971" xr:uid="{C6B6451F-085B-46DB-862F-196249B15D7D}"/>
    <cellStyle name="Normal 5 2 4" xfId="432" xr:uid="{00000000-0005-0000-0000-0000D2180000}"/>
    <cellStyle name="Normal 5 2 4 10" xfId="8827" xr:uid="{1EC4F605-F0BA-487E-A3C0-2CBAE7C22D8A}"/>
    <cellStyle name="Normal 5 2 4 11" xfId="9914" xr:uid="{E57413C4-AA82-487B-A36E-C2AD025CA096}"/>
    <cellStyle name="Normal 5 2 4 2" xfId="433" xr:uid="{00000000-0005-0000-0000-0000D3180000}"/>
    <cellStyle name="Normal 5 2 4 2 10" xfId="9915" xr:uid="{F7D1A0D9-5DD3-45D7-8EC4-7B1D8BE93058}"/>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96640192-1FD9-475D-9095-84C1D3F78034}"/>
    <cellStyle name="Normal 5 2 4 2 2 2 2 3" xfId="12474" xr:uid="{F8EAAE6F-7D44-42FB-A58A-50C08B75E58D}"/>
    <cellStyle name="Normal 5 2 4 2 2 2 3" xfId="5220" xr:uid="{00000000-0005-0000-0000-0000D8180000}"/>
    <cellStyle name="Normal 5 2 4 2 2 2 3 2" xfId="14546" xr:uid="{C4AB5CC8-6226-4695-930C-5C49648C0F2D}"/>
    <cellStyle name="Normal 5 2 4 2 2 2 4" xfId="9562" xr:uid="{5E243FB4-F3B1-4B34-B377-1444454AD19E}"/>
    <cellStyle name="Normal 5 2 4 2 2 2 5" xfId="10329" xr:uid="{9F4FA9C5-2B13-4480-8445-D9AB07A067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5E8919C3-9B32-40C2-B2C6-F6F3AD4C0CF6}"/>
    <cellStyle name="Normal 5 2 4 2 2 3 2 3" xfId="12887" xr:uid="{92DADADF-0B41-4FB5-8C6A-7F98B447F3EB}"/>
    <cellStyle name="Normal 5 2 4 2 2 3 3" xfId="5633" xr:uid="{00000000-0005-0000-0000-0000DC180000}"/>
    <cellStyle name="Normal 5 2 4 2 2 3 3 2" xfId="14959" xr:uid="{AEAB7421-FFC3-48EE-AE10-F10EB6022208}"/>
    <cellStyle name="Normal 5 2 4 2 2 3 4" xfId="10742" xr:uid="{9F250CCA-FB8B-45C9-8881-DEBE19589AFA}"/>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3950BBA5-B3ED-45FB-AF46-CE26B3B82305}"/>
    <cellStyle name="Normal 5 2 4 2 2 4 2 3" xfId="13300" xr:uid="{CA4AA32A-8A50-4032-A328-95B112BE65AF}"/>
    <cellStyle name="Normal 5 2 4 2 2 4 3" xfId="6046" xr:uid="{00000000-0005-0000-0000-0000E0180000}"/>
    <cellStyle name="Normal 5 2 4 2 2 4 3 2" xfId="15372" xr:uid="{02996277-656C-4B0C-A683-D911FE2A79FF}"/>
    <cellStyle name="Normal 5 2 4 2 2 4 4" xfId="11155" xr:uid="{A6C26FE1-2CAE-4279-A432-0CEDB056E728}"/>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B86234A2-ACF7-4359-B671-2B56CDD4AF34}"/>
    <cellStyle name="Normal 5 2 4 2 2 5 2 3" xfId="13713" xr:uid="{945A6947-9ABF-4B02-A26D-D1381612CEA6}"/>
    <cellStyle name="Normal 5 2 4 2 2 5 3" xfId="6459" xr:uid="{00000000-0005-0000-0000-0000E4180000}"/>
    <cellStyle name="Normal 5 2 4 2 2 5 3 2" xfId="15785" xr:uid="{5B34F55A-5E7E-4B90-BCAE-3BC2CF711539}"/>
    <cellStyle name="Normal 5 2 4 2 2 5 4" xfId="11568" xr:uid="{71047E55-9CD0-4333-9202-ED1B8C9896F7}"/>
    <cellStyle name="Normal 5 2 4 2 2 6" xfId="2589" xr:uid="{00000000-0005-0000-0000-0000E5180000}"/>
    <cellStyle name="Normal 5 2 4 2 2 6 2" xfId="6872" xr:uid="{00000000-0005-0000-0000-0000E6180000}"/>
    <cellStyle name="Normal 5 2 4 2 2 6 2 2" xfId="16198" xr:uid="{96249A1D-A2ED-4676-A18B-2A6BA7E59335}"/>
    <cellStyle name="Normal 5 2 4 2 2 6 3" xfId="11981" xr:uid="{F91871A4-E8C0-4253-81F7-C66F563A8638}"/>
    <cellStyle name="Normal 5 2 4 2 2 7" xfId="4807" xr:uid="{00000000-0005-0000-0000-0000E7180000}"/>
    <cellStyle name="Normal 5 2 4 2 2 7 2" xfId="14133" xr:uid="{BCABBF46-27B6-4381-8D22-5361A0948D64}"/>
    <cellStyle name="Normal 5 2 4 2 2 8" xfId="9137" xr:uid="{C80E4B27-40CA-4953-ABB8-99E2C575F775}"/>
    <cellStyle name="Normal 5 2 4 2 2 9" xfId="9916" xr:uid="{BBC3E06D-11D4-467D-9648-E6B1AB42564A}"/>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41C9FFEE-71F3-4188-B65F-6FFF33024932}"/>
    <cellStyle name="Normal 5 2 4 2 3 2 3" xfId="12473" xr:uid="{8A2CFDD0-89D9-4BB4-8634-7FF96B59FF72}"/>
    <cellStyle name="Normal 5 2 4 2 3 3" xfId="5219" xr:uid="{00000000-0005-0000-0000-0000EB180000}"/>
    <cellStyle name="Normal 5 2 4 2 3 3 2" xfId="14545" xr:uid="{F1BC5DD9-44BA-40E4-977C-99B2DE856274}"/>
    <cellStyle name="Normal 5 2 4 2 3 4" xfId="9355" xr:uid="{9D38A6AA-2F63-4275-9FB8-F86A15F6A4D3}"/>
    <cellStyle name="Normal 5 2 4 2 3 5" xfId="10328" xr:uid="{480E74E7-5D2D-48C4-90E6-E4753EB2351B}"/>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326E4631-0EF0-4F71-8562-315869BC29D6}"/>
    <cellStyle name="Normal 5 2 4 2 4 2 3" xfId="12886" xr:uid="{A5CE407B-00A6-467F-B407-24A2BAF814A6}"/>
    <cellStyle name="Normal 5 2 4 2 4 3" xfId="5632" xr:uid="{00000000-0005-0000-0000-0000EF180000}"/>
    <cellStyle name="Normal 5 2 4 2 4 3 2" xfId="14958" xr:uid="{7BE2143B-31CE-4CE0-A9BE-219186BB55CF}"/>
    <cellStyle name="Normal 5 2 4 2 4 4" xfId="10741" xr:uid="{4AC5AF13-82FD-4359-AE03-B120C56CC581}"/>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9CF556BA-61DB-4DA6-A547-CD3AA2B593D1}"/>
    <cellStyle name="Normal 5 2 4 2 5 2 3" xfId="13299" xr:uid="{D554EDA5-9CD1-4923-B538-741A31932AB2}"/>
    <cellStyle name="Normal 5 2 4 2 5 3" xfId="6045" xr:uid="{00000000-0005-0000-0000-0000F3180000}"/>
    <cellStyle name="Normal 5 2 4 2 5 3 2" xfId="15371" xr:uid="{A08DE8C1-E9E4-40C2-9DA9-91F3EA2CED8D}"/>
    <cellStyle name="Normal 5 2 4 2 5 4" xfId="11154" xr:uid="{538AB344-F4A5-4CF5-B5C2-514F2CB29D18}"/>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2FB04558-7D5D-469C-A279-34795227E23C}"/>
    <cellStyle name="Normal 5 2 4 2 6 2 3" xfId="13712" xr:uid="{5D9DCF3B-D0BB-4652-A851-58C4BEC4BA56}"/>
    <cellStyle name="Normal 5 2 4 2 6 3" xfId="6458" xr:uid="{00000000-0005-0000-0000-0000F7180000}"/>
    <cellStyle name="Normal 5 2 4 2 6 3 2" xfId="15784" xr:uid="{8BE472CE-9FD6-4728-A3D5-C76873998BBB}"/>
    <cellStyle name="Normal 5 2 4 2 6 4" xfId="11567" xr:uid="{36E08BB5-0A5D-49AB-AFD3-D1330AF86A61}"/>
    <cellStyle name="Normal 5 2 4 2 7" xfId="2588" xr:uid="{00000000-0005-0000-0000-0000F8180000}"/>
    <cellStyle name="Normal 5 2 4 2 7 2" xfId="6871" xr:uid="{00000000-0005-0000-0000-0000F9180000}"/>
    <cellStyle name="Normal 5 2 4 2 7 2 2" xfId="16197" xr:uid="{F01BA0C8-C157-4B15-9CA2-CC3D5043E6CF}"/>
    <cellStyle name="Normal 5 2 4 2 7 3" xfId="11980" xr:uid="{D0DE17E6-C60A-4B01-B213-50B7E2C2075E}"/>
    <cellStyle name="Normal 5 2 4 2 8" xfId="4806" xr:uid="{00000000-0005-0000-0000-0000FA180000}"/>
    <cellStyle name="Normal 5 2 4 2 8 2" xfId="14132" xr:uid="{32C77DDE-8C6A-4FAF-B9BE-0535D5621424}"/>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6F9129B1-B170-4296-9FD3-B924D4039398}"/>
    <cellStyle name="Normal 5 2 4 3 2 2 3" xfId="12475" xr:uid="{B81879C4-E674-480A-8C5B-1345C0F3323F}"/>
    <cellStyle name="Normal 5 2 4 3 2 3" xfId="5221" xr:uid="{00000000-0005-0000-0000-0000FF180000}"/>
    <cellStyle name="Normal 5 2 4 3 2 3 2" xfId="14547" xr:uid="{61BA9645-208E-443B-8E9F-0E0DBE429DC3}"/>
    <cellStyle name="Normal 5 2 4 3 2 4" xfId="9459" xr:uid="{ED2A936E-5624-4B26-A175-3FCE68E1BF5A}"/>
    <cellStyle name="Normal 5 2 4 3 2 5" xfId="10330" xr:uid="{CD6C7447-3C33-45EA-A11F-17A20905584E}"/>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343C0A4D-EDBF-44AF-AB83-05A2C626D76E}"/>
    <cellStyle name="Normal 5 2 4 3 3 2 3" xfId="12888" xr:uid="{9824149A-2CBC-44F6-A975-8B0DCCAFFF9E}"/>
    <cellStyle name="Normal 5 2 4 3 3 3" xfId="5634" xr:uid="{00000000-0005-0000-0000-000003190000}"/>
    <cellStyle name="Normal 5 2 4 3 3 3 2" xfId="14960" xr:uid="{22978759-07D7-493D-9CD4-2795917D2EAA}"/>
    <cellStyle name="Normal 5 2 4 3 3 4" xfId="10743" xr:uid="{2F14A4B8-7617-43D1-B748-C317BC1A1BB7}"/>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C77B9C92-5F4F-4724-A45F-F0A8B819A852}"/>
    <cellStyle name="Normal 5 2 4 3 4 2 3" xfId="13301" xr:uid="{53DDE58C-24EF-4F30-9EAA-C073BC936C96}"/>
    <cellStyle name="Normal 5 2 4 3 4 3" xfId="6047" xr:uid="{00000000-0005-0000-0000-000007190000}"/>
    <cellStyle name="Normal 5 2 4 3 4 3 2" xfId="15373" xr:uid="{D3522E69-D3C9-488F-A044-16F3BB4DD7AE}"/>
    <cellStyle name="Normal 5 2 4 3 4 4" xfId="11156" xr:uid="{7BF37F82-1C59-4767-8541-BC0D91BCDEE6}"/>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4E9AB436-A3C0-43A9-9161-F702BD6E53A4}"/>
    <cellStyle name="Normal 5 2 4 3 5 2 3" xfId="13714" xr:uid="{084D00D3-8150-43A2-97AD-EF5F98EE3EA1}"/>
    <cellStyle name="Normal 5 2 4 3 5 3" xfId="6460" xr:uid="{00000000-0005-0000-0000-00000B190000}"/>
    <cellStyle name="Normal 5 2 4 3 5 3 2" xfId="15786" xr:uid="{5F39564E-EFAA-4EFD-8409-095DBACD4B3A}"/>
    <cellStyle name="Normal 5 2 4 3 5 4" xfId="11569" xr:uid="{71735652-BBD7-48CB-9B1E-0F2CC1806EF8}"/>
    <cellStyle name="Normal 5 2 4 3 6" xfId="2590" xr:uid="{00000000-0005-0000-0000-00000C190000}"/>
    <cellStyle name="Normal 5 2 4 3 6 2" xfId="6873" xr:uid="{00000000-0005-0000-0000-00000D190000}"/>
    <cellStyle name="Normal 5 2 4 3 6 2 2" xfId="16199" xr:uid="{20845722-9033-4636-97FC-5C2C34B53CE2}"/>
    <cellStyle name="Normal 5 2 4 3 6 3" xfId="11982" xr:uid="{E08E01E0-AE38-4D73-A42E-DAA692818D99}"/>
    <cellStyle name="Normal 5 2 4 3 7" xfId="4808" xr:uid="{00000000-0005-0000-0000-00000E190000}"/>
    <cellStyle name="Normal 5 2 4 3 7 2" xfId="14134" xr:uid="{4AFD0249-009E-49CA-8691-44AE118A6A55}"/>
    <cellStyle name="Normal 5 2 4 3 8" xfId="9034" xr:uid="{82D3DE5B-E868-4CF9-BA07-6E197DA4FAA5}"/>
    <cellStyle name="Normal 5 2 4 3 9" xfId="9917" xr:uid="{A542BA2D-D618-4584-95FC-90C3C379789D}"/>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53E35A83-947E-4853-B8A5-6B4CC368893C}"/>
    <cellStyle name="Normal 5 2 4 4 2 3" xfId="12472" xr:uid="{AC8BA1B4-617C-44FD-B08E-CD54830184FB}"/>
    <cellStyle name="Normal 5 2 4 4 3" xfId="5218" xr:uid="{00000000-0005-0000-0000-000012190000}"/>
    <cellStyle name="Normal 5 2 4 4 3 2" xfId="14544" xr:uid="{583A3BF5-AEE3-4F88-BAC3-7A1293F07EC0}"/>
    <cellStyle name="Normal 5 2 4 4 4" xfId="9252" xr:uid="{1D1A8EC4-7286-46A1-B40C-E987F273E760}"/>
    <cellStyle name="Normal 5 2 4 4 5" xfId="10327" xr:uid="{7681A65E-937F-4599-BB97-0A8B312F94CB}"/>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B2EE5D77-CF1C-433D-B483-CD1E90C8C8C8}"/>
    <cellStyle name="Normal 5 2 4 5 2 3" xfId="12885" xr:uid="{3AEFCFCA-5EB1-4FB7-A53E-3AF8C232D1A7}"/>
    <cellStyle name="Normal 5 2 4 5 3" xfId="5631" xr:uid="{00000000-0005-0000-0000-000016190000}"/>
    <cellStyle name="Normal 5 2 4 5 3 2" xfId="14957" xr:uid="{FA289005-7A9F-44EF-A7EA-F070605BCF48}"/>
    <cellStyle name="Normal 5 2 4 5 4" xfId="10740" xr:uid="{2C619100-47CE-4056-A8AB-3B9B3FDEEE3D}"/>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2E109F0D-44F9-43B9-BAFF-5ECB67E304E7}"/>
    <cellStyle name="Normal 5 2 4 6 2 3" xfId="13298" xr:uid="{7C2A43E2-F1C7-4661-BE4D-398F4158E455}"/>
    <cellStyle name="Normal 5 2 4 6 3" xfId="6044" xr:uid="{00000000-0005-0000-0000-00001A190000}"/>
    <cellStyle name="Normal 5 2 4 6 3 2" xfId="15370" xr:uid="{374D5962-4847-4D85-8A61-4480FD1FC3E9}"/>
    <cellStyle name="Normal 5 2 4 6 4" xfId="11153" xr:uid="{4F4B1B9A-203C-40BA-82BE-AB6A2F9D140B}"/>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9E7AE284-0A53-478B-B4D2-8434797048E4}"/>
    <cellStyle name="Normal 5 2 4 7 2 3" xfId="13711" xr:uid="{E9003FCA-D8E4-4557-98BF-1987540FF91E}"/>
    <cellStyle name="Normal 5 2 4 7 3" xfId="6457" xr:uid="{00000000-0005-0000-0000-00001E190000}"/>
    <cellStyle name="Normal 5 2 4 7 3 2" xfId="15783" xr:uid="{9B720A15-16EB-4590-B8DA-34267EDBDC71}"/>
    <cellStyle name="Normal 5 2 4 7 4" xfId="11566" xr:uid="{E55524EC-C9E6-46D2-9591-892DC0560C8D}"/>
    <cellStyle name="Normal 5 2 4 8" xfId="2587" xr:uid="{00000000-0005-0000-0000-00001F190000}"/>
    <cellStyle name="Normal 5 2 4 8 2" xfId="6870" xr:uid="{00000000-0005-0000-0000-000020190000}"/>
    <cellStyle name="Normal 5 2 4 8 2 2" xfId="16196" xr:uid="{ECD5EDAF-8D63-4213-9A1C-2EEEA0415BEF}"/>
    <cellStyle name="Normal 5 2 4 8 3" xfId="11979" xr:uid="{6331E99A-EA21-479E-80E2-910774E740FA}"/>
    <cellStyle name="Normal 5 2 4 9" xfId="4805" xr:uid="{00000000-0005-0000-0000-000021190000}"/>
    <cellStyle name="Normal 5 2 4 9 2" xfId="14131" xr:uid="{2C9317FA-F241-467E-A398-703AF58CC7FC}"/>
    <cellStyle name="Normal 5 2 5" xfId="436" xr:uid="{00000000-0005-0000-0000-000022190000}"/>
    <cellStyle name="Normal 5 2 5 10" xfId="9918" xr:uid="{0F06E60E-C5AD-47D1-9704-34F6EB2D530E}"/>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6BDA1ECE-6FE2-4513-B65C-8772176B018D}"/>
    <cellStyle name="Normal 5 2 5 2 2 2 3" xfId="12477" xr:uid="{269D2419-1018-4391-9367-D431C7B26E9E}"/>
    <cellStyle name="Normal 5 2 5 2 2 3" xfId="5223" xr:uid="{00000000-0005-0000-0000-000027190000}"/>
    <cellStyle name="Normal 5 2 5 2 2 3 2" xfId="14549" xr:uid="{0130D738-181F-4524-A492-EE7A9A636BDE}"/>
    <cellStyle name="Normal 5 2 5 2 2 4" xfId="9479" xr:uid="{0DDFFFD4-5D62-4038-B6D4-9E9BD7CBA380}"/>
    <cellStyle name="Normal 5 2 5 2 2 5" xfId="10332" xr:uid="{A38E1874-2CC7-4158-B2BD-17F8FB9A6BDF}"/>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02E24BFC-6B90-4199-86B9-B674E7E9EF8E}"/>
    <cellStyle name="Normal 5 2 5 2 3 2 3" xfId="12890" xr:uid="{6B253AC7-EA4A-43D9-A4C3-738E5317D031}"/>
    <cellStyle name="Normal 5 2 5 2 3 3" xfId="5636" xr:uid="{00000000-0005-0000-0000-00002B190000}"/>
    <cellStyle name="Normal 5 2 5 2 3 3 2" xfId="14962" xr:uid="{E736BFE6-2399-49DA-9A1B-0A87C22E0ABD}"/>
    <cellStyle name="Normal 5 2 5 2 3 4" xfId="10745" xr:uid="{A4EE9EE4-3567-4913-8A09-03AF2FDEE4E5}"/>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ED96D426-519A-42BF-AE77-788905910F3D}"/>
    <cellStyle name="Normal 5 2 5 2 4 2 3" xfId="13303" xr:uid="{DAE8973E-9D23-4347-9BED-A023E5A60B75}"/>
    <cellStyle name="Normal 5 2 5 2 4 3" xfId="6049" xr:uid="{00000000-0005-0000-0000-00002F190000}"/>
    <cellStyle name="Normal 5 2 5 2 4 3 2" xfId="15375" xr:uid="{D6B0530C-B605-4F2C-B511-E32C41DCB2C5}"/>
    <cellStyle name="Normal 5 2 5 2 4 4" xfId="11158" xr:uid="{8AADB80D-6FEE-4E39-91BC-F4C14A4FC67C}"/>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D54BD8C4-7FF3-4F78-A7C1-B5E6D8B52626}"/>
    <cellStyle name="Normal 5 2 5 2 5 2 3" xfId="13716" xr:uid="{56FE9EBE-0FC1-40EC-8C6F-80D2FA279D2D}"/>
    <cellStyle name="Normal 5 2 5 2 5 3" xfId="6462" xr:uid="{00000000-0005-0000-0000-000033190000}"/>
    <cellStyle name="Normal 5 2 5 2 5 3 2" xfId="15788" xr:uid="{01423E05-8A85-43E4-A24A-822A4EB549AA}"/>
    <cellStyle name="Normal 5 2 5 2 5 4" xfId="11571" xr:uid="{AD2337B7-A126-44CF-8A4F-01D55BFB1722}"/>
    <cellStyle name="Normal 5 2 5 2 6" xfId="2592" xr:uid="{00000000-0005-0000-0000-000034190000}"/>
    <cellStyle name="Normal 5 2 5 2 6 2" xfId="6875" xr:uid="{00000000-0005-0000-0000-000035190000}"/>
    <cellStyle name="Normal 5 2 5 2 6 2 2" xfId="16201" xr:uid="{A0C0D49B-E718-495E-86B1-D64D4C801CEA}"/>
    <cellStyle name="Normal 5 2 5 2 6 3" xfId="11984" xr:uid="{146E929C-3484-4748-BCE9-82480D4A7DDF}"/>
    <cellStyle name="Normal 5 2 5 2 7" xfId="4810" xr:uid="{00000000-0005-0000-0000-000036190000}"/>
    <cellStyle name="Normal 5 2 5 2 7 2" xfId="14136" xr:uid="{51E316F8-EE6B-4F15-92BA-B9457AAD9BBC}"/>
    <cellStyle name="Normal 5 2 5 2 8" xfId="9054" xr:uid="{844F6476-DDB9-4C38-A2B2-83AB0DCF1773}"/>
    <cellStyle name="Normal 5 2 5 2 9" xfId="9919" xr:uid="{C5A82B41-FCCB-453B-A6A4-39DF760E4A11}"/>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6FCE4355-FF69-48B3-BB5D-3BF41FBFE02B}"/>
    <cellStyle name="Normal 5 2 5 3 2 3" xfId="12476" xr:uid="{2C6438F6-2B01-40DF-AA1D-2CF75E23CA87}"/>
    <cellStyle name="Normal 5 2 5 3 3" xfId="5222" xr:uid="{00000000-0005-0000-0000-00003A190000}"/>
    <cellStyle name="Normal 5 2 5 3 3 2" xfId="14548" xr:uid="{0B75E76F-5397-4993-88FE-EBB20AC1AFC2}"/>
    <cellStyle name="Normal 5 2 5 3 4" xfId="9272" xr:uid="{8865498C-CC61-4C5F-A1F4-57A1D301E1CE}"/>
    <cellStyle name="Normal 5 2 5 3 5" xfId="10331" xr:uid="{4C6245EB-C6BC-4458-8E4A-A3DC3953D67A}"/>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C325F2DC-85CC-4BA0-A753-F52C2D32B7C7}"/>
    <cellStyle name="Normal 5 2 5 4 2 3" xfId="12889" xr:uid="{4986A1D7-E894-4B81-BAB4-BFF4F731350F}"/>
    <cellStyle name="Normal 5 2 5 4 3" xfId="5635" xr:uid="{00000000-0005-0000-0000-00003E190000}"/>
    <cellStyle name="Normal 5 2 5 4 3 2" xfId="14961" xr:uid="{4BB5F962-113B-4D48-B12D-52F30A493D36}"/>
    <cellStyle name="Normal 5 2 5 4 4" xfId="10744" xr:uid="{75145A40-6408-4328-892C-2D74E5DB0124}"/>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D28C1A63-11BA-41AB-97D0-8DB97DA812F0}"/>
    <cellStyle name="Normal 5 2 5 5 2 3" xfId="13302" xr:uid="{1DA8619D-CF8D-4036-B5A6-782067FAB7D1}"/>
    <cellStyle name="Normal 5 2 5 5 3" xfId="6048" xr:uid="{00000000-0005-0000-0000-000042190000}"/>
    <cellStyle name="Normal 5 2 5 5 3 2" xfId="15374" xr:uid="{1923D844-DD07-4E24-97A7-30EDF4E3FBAF}"/>
    <cellStyle name="Normal 5 2 5 5 4" xfId="11157" xr:uid="{F10E5824-C427-4158-8890-E652B27123B9}"/>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0070BC89-A804-4F57-AD7A-038FF55DB246}"/>
    <cellStyle name="Normal 5 2 5 6 2 3" xfId="13715" xr:uid="{A9C10138-F313-49B9-941E-91CF19D9006B}"/>
    <cellStyle name="Normal 5 2 5 6 3" xfId="6461" xr:uid="{00000000-0005-0000-0000-000046190000}"/>
    <cellStyle name="Normal 5 2 5 6 3 2" xfId="15787" xr:uid="{856E828F-9BCE-453E-A04F-605B74E408E0}"/>
    <cellStyle name="Normal 5 2 5 6 4" xfId="11570" xr:uid="{16F8D8AB-2A56-4734-A2EC-8A6651BDF9E4}"/>
    <cellStyle name="Normal 5 2 5 7" xfId="2591" xr:uid="{00000000-0005-0000-0000-000047190000}"/>
    <cellStyle name="Normal 5 2 5 7 2" xfId="6874" xr:uid="{00000000-0005-0000-0000-000048190000}"/>
    <cellStyle name="Normal 5 2 5 7 2 2" xfId="16200" xr:uid="{E38B9424-FF76-444C-9FE0-3E86127C0E8A}"/>
    <cellStyle name="Normal 5 2 5 7 3" xfId="11983" xr:uid="{52DB2179-AF15-4E74-A61D-FB2E0FC0CEAA}"/>
    <cellStyle name="Normal 5 2 5 8" xfId="4809" xr:uid="{00000000-0005-0000-0000-000049190000}"/>
    <cellStyle name="Normal 5 2 5 8 2" xfId="14135" xr:uid="{CE8E94A1-24BA-41F1-87FE-20542C9A93CD}"/>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20A1A1BF-2C5A-48FF-831D-24FCCC6B6B79}"/>
    <cellStyle name="Normal 5 2 6 2 2 3" xfId="12478" xr:uid="{DC645D2C-2D78-404B-9E9D-0252493F273D}"/>
    <cellStyle name="Normal 5 2 6 2 3" xfId="5224" xr:uid="{00000000-0005-0000-0000-00004E190000}"/>
    <cellStyle name="Normal 5 2 6 2 3 2" xfId="14550" xr:uid="{45726E94-F709-49BC-AF4F-D0DA292255BC}"/>
    <cellStyle name="Normal 5 2 6 2 4" xfId="9388" xr:uid="{38BE55A5-085B-499D-8766-DF826B77D03C}"/>
    <cellStyle name="Normal 5 2 6 2 5" xfId="10333" xr:uid="{F2E075EF-D31D-41DC-93EA-EDFA9EF99D49}"/>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33FA411C-CA77-4C67-97AB-17AD9C4E2236}"/>
    <cellStyle name="Normal 5 2 6 3 2 3" xfId="12891" xr:uid="{6C445BB5-3C5E-4147-937C-9B8362D349C6}"/>
    <cellStyle name="Normal 5 2 6 3 3" xfId="5637" xr:uid="{00000000-0005-0000-0000-000052190000}"/>
    <cellStyle name="Normal 5 2 6 3 3 2" xfId="14963" xr:uid="{8FB91BBE-A1E9-43CB-A7B3-7ED0CEA2633A}"/>
    <cellStyle name="Normal 5 2 6 3 4" xfId="10746" xr:uid="{9D9C4918-E3BA-4BB3-8245-EF87B3F9ED65}"/>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8DBFC40C-8286-487D-A328-33A84587896F}"/>
    <cellStyle name="Normal 5 2 6 4 2 3" xfId="13304" xr:uid="{C3C53BC1-DEB2-4B37-BDC1-6EBC497AB1C1}"/>
    <cellStyle name="Normal 5 2 6 4 3" xfId="6050" xr:uid="{00000000-0005-0000-0000-000056190000}"/>
    <cellStyle name="Normal 5 2 6 4 3 2" xfId="15376" xr:uid="{10C2A4C6-8B5D-4DCE-8FFF-160D5CC3F196}"/>
    <cellStyle name="Normal 5 2 6 4 4" xfId="11159" xr:uid="{6658E024-8239-412A-BBCE-77684FD054F8}"/>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4EEF8CB1-C486-429E-ACEC-01DAFE1C9933}"/>
    <cellStyle name="Normal 5 2 6 5 2 3" xfId="13717" xr:uid="{2D3FA0FA-F2B3-4B42-BDE1-894351433D56}"/>
    <cellStyle name="Normal 5 2 6 5 3" xfId="6463" xr:uid="{00000000-0005-0000-0000-00005A190000}"/>
    <cellStyle name="Normal 5 2 6 5 3 2" xfId="15789" xr:uid="{2C2F098C-2E9E-4E5B-8BF5-048987B73289}"/>
    <cellStyle name="Normal 5 2 6 5 4" xfId="11572" xr:uid="{A9EF0C3C-3F04-428E-87EB-05A8B60066CA}"/>
    <cellStyle name="Normal 5 2 6 6" xfId="2593" xr:uid="{00000000-0005-0000-0000-00005B190000}"/>
    <cellStyle name="Normal 5 2 6 6 2" xfId="6876" xr:uid="{00000000-0005-0000-0000-00005C190000}"/>
    <cellStyle name="Normal 5 2 6 6 2 2" xfId="16202" xr:uid="{FC740361-89A3-451B-9D61-BEB088692CC9}"/>
    <cellStyle name="Normal 5 2 6 6 3" xfId="11985" xr:uid="{EDC08057-B464-4A9C-A7FB-0DE3177A543C}"/>
    <cellStyle name="Normal 5 2 6 7" xfId="4811" xr:uid="{00000000-0005-0000-0000-00005D190000}"/>
    <cellStyle name="Normal 5 2 6 7 2" xfId="14137" xr:uid="{6BFD557D-4F2D-4B06-8771-98CDE7C0F141}"/>
    <cellStyle name="Normal 5 2 6 8" xfId="8963" xr:uid="{01BDB756-0B70-4C0D-AC32-9959EE0C8F11}"/>
    <cellStyle name="Normal 5 2 6 9" xfId="9920" xr:uid="{8A8318B1-C0FD-40DD-BDE9-EAF02EBFBA22}"/>
    <cellStyle name="Normal 5 2 7" xfId="881" xr:uid="{00000000-0005-0000-0000-00005E190000}"/>
    <cellStyle name="Normal 5 2 7 2" xfId="3116" xr:uid="{00000000-0005-0000-0000-00005F190000}"/>
    <cellStyle name="Normal 5 2 7 2 2" xfId="7338" xr:uid="{00000000-0005-0000-0000-000060190000}"/>
    <cellStyle name="Normal 5 2 7 2 2 2" xfId="16664" xr:uid="{30034936-E769-47E4-8B56-5C4CE716D991}"/>
    <cellStyle name="Normal 5 2 7 2 3" xfId="12447" xr:uid="{B8119322-E322-48AB-82C9-AF62B34A7343}"/>
    <cellStyle name="Normal 5 2 7 3" xfId="5193" xr:uid="{00000000-0005-0000-0000-000061190000}"/>
    <cellStyle name="Normal 5 2 7 3 2" xfId="14519" xr:uid="{7D415BF6-2B19-4480-A64A-2BDD4C798771}"/>
    <cellStyle name="Normal 5 2 7 4" xfId="9166" xr:uid="{903BB692-5043-4803-B109-F7C532EB2A09}"/>
    <cellStyle name="Normal 5 2 7 5" xfId="10302" xr:uid="{4532534B-B63A-4EF3-B64D-5CF2D82873F8}"/>
    <cellStyle name="Normal 5 2 8" xfId="1299" xr:uid="{00000000-0005-0000-0000-000062190000}"/>
    <cellStyle name="Normal 5 2 8 2" xfId="3529" xr:uid="{00000000-0005-0000-0000-000063190000}"/>
    <cellStyle name="Normal 5 2 8 2 2" xfId="7751" xr:uid="{00000000-0005-0000-0000-000064190000}"/>
    <cellStyle name="Normal 5 2 8 2 2 2" xfId="17077" xr:uid="{40B54589-FF31-4A06-AD99-AACC5B6972F6}"/>
    <cellStyle name="Normal 5 2 8 2 3" xfId="12860" xr:uid="{DC4B2C93-F160-490A-A76E-E83BC0B7E833}"/>
    <cellStyle name="Normal 5 2 8 3" xfId="5606" xr:uid="{00000000-0005-0000-0000-000065190000}"/>
    <cellStyle name="Normal 5 2 8 3 2" xfId="14932" xr:uid="{E3248A45-862A-4D66-BEDD-52C737687E57}"/>
    <cellStyle name="Normal 5 2 8 4" xfId="10715" xr:uid="{C19F2869-9031-42CD-B929-40B80D491796}"/>
    <cellStyle name="Normal 5 2 9" xfId="1712" xr:uid="{00000000-0005-0000-0000-000066190000}"/>
    <cellStyle name="Normal 5 2 9 2" xfId="3942" xr:uid="{00000000-0005-0000-0000-000067190000}"/>
    <cellStyle name="Normal 5 2 9 2 2" xfId="8164" xr:uid="{00000000-0005-0000-0000-000068190000}"/>
    <cellStyle name="Normal 5 2 9 2 2 2" xfId="17490" xr:uid="{34BF542F-D6D0-4B57-8449-1D32767C5EF4}"/>
    <cellStyle name="Normal 5 2 9 2 3" xfId="13273" xr:uid="{8A795E7F-E041-4C50-B364-1945E60D4AD8}"/>
    <cellStyle name="Normal 5 2 9 3" xfId="6019" xr:uid="{00000000-0005-0000-0000-000069190000}"/>
    <cellStyle name="Normal 5 2 9 3 2" xfId="15345" xr:uid="{1013C43A-0D2B-4322-B446-0EAF24284F7E}"/>
    <cellStyle name="Normal 5 2 9 4" xfId="11128" xr:uid="{352BD357-3AAE-4827-BECB-D53589BBCEA4}"/>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69179F13-79FD-48C7-893C-A4D8B48D2072}"/>
    <cellStyle name="Normal 5 3 10 2 3" xfId="13718" xr:uid="{5284F26A-18E0-487B-9B12-3D1DB09C8019}"/>
    <cellStyle name="Normal 5 3 10 3" xfId="6464" xr:uid="{00000000-0005-0000-0000-00006E190000}"/>
    <cellStyle name="Normal 5 3 10 3 2" xfId="15790" xr:uid="{AFD9E82A-6D2D-44C9-9EBF-0490B6D585D4}"/>
    <cellStyle name="Normal 5 3 10 4" xfId="11573" xr:uid="{67867627-3742-4F0E-AF6D-62FD43580F21}"/>
    <cellStyle name="Normal 5 3 11" xfId="2594" xr:uid="{00000000-0005-0000-0000-00006F190000}"/>
    <cellStyle name="Normal 5 3 11 2" xfId="6877" xr:uid="{00000000-0005-0000-0000-000070190000}"/>
    <cellStyle name="Normal 5 3 11 2 2" xfId="16203" xr:uid="{B1EF1737-B687-4891-9CA3-54D482632EFF}"/>
    <cellStyle name="Normal 5 3 11 3" xfId="11986" xr:uid="{A3C08EBF-BEC1-45F9-AA39-BB5238AF070D}"/>
    <cellStyle name="Normal 5 3 12" xfId="4812" xr:uid="{00000000-0005-0000-0000-000071190000}"/>
    <cellStyle name="Normal 5 3 12 2" xfId="14138" xr:uid="{A0E7F153-98F5-40AC-A872-665FE2C050CE}"/>
    <cellStyle name="Normal 5 3 13" xfId="8750" xr:uid="{36957AEF-D081-4A23-AEE3-073A5901863C}"/>
    <cellStyle name="Normal 5 3 14" xfId="9921" xr:uid="{7D7C721E-DF15-4D06-92A6-D456CA02DB29}"/>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13C06188-7881-4B56-83E9-065B92EF7915}"/>
    <cellStyle name="Normal 5 3 3 11" xfId="8782" xr:uid="{4219AD28-469A-4693-BD0B-B0536AC433E5}"/>
    <cellStyle name="Normal 5 3 3 12" xfId="9922" xr:uid="{B344604A-194D-41C6-B37B-093CE2909AA4}"/>
    <cellStyle name="Normal 5 3 3 2" xfId="442" xr:uid="{00000000-0005-0000-0000-000076190000}"/>
    <cellStyle name="Normal 5 3 3 2 10" xfId="8832" xr:uid="{03323DDB-E4E1-4078-8BBE-EA3DD4471E1B}"/>
    <cellStyle name="Normal 5 3 3 2 11" xfId="9923" xr:uid="{82E8DE5E-D455-4C6B-A947-E81C2FE7C11D}"/>
    <cellStyle name="Normal 5 3 3 2 2" xfId="443" xr:uid="{00000000-0005-0000-0000-000077190000}"/>
    <cellStyle name="Normal 5 3 3 2 2 10" xfId="9924" xr:uid="{D99DD53F-25AF-49AF-AF51-C484641BE54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06AD2567-646C-453F-B563-A13C9688B1B5}"/>
    <cellStyle name="Normal 5 3 3 2 2 2 2 2 3" xfId="12483" xr:uid="{90588BF1-6635-4110-90D4-A5640A342F2C}"/>
    <cellStyle name="Normal 5 3 3 2 2 2 2 3" xfId="5229" xr:uid="{00000000-0005-0000-0000-00007C190000}"/>
    <cellStyle name="Normal 5 3 3 2 2 2 2 3 2" xfId="14555" xr:uid="{9CC1CF64-E16C-4A4A-8DB1-21753568A6DB}"/>
    <cellStyle name="Normal 5 3 3 2 2 2 2 4" xfId="9567" xr:uid="{C2519486-6BC5-47D1-879F-EC6040BC9E9D}"/>
    <cellStyle name="Normal 5 3 3 2 2 2 2 5" xfId="10338" xr:uid="{3A017E2A-C286-41BE-8942-9B9E15795188}"/>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F1F225B5-D379-42E8-9B5F-7F5FA08514B4}"/>
    <cellStyle name="Normal 5 3 3 2 2 2 3 2 3" xfId="12896" xr:uid="{8738C853-9BDF-44B6-ACFE-A48AA654834D}"/>
    <cellStyle name="Normal 5 3 3 2 2 2 3 3" xfId="5642" xr:uid="{00000000-0005-0000-0000-000080190000}"/>
    <cellStyle name="Normal 5 3 3 2 2 2 3 3 2" xfId="14968" xr:uid="{2E142EDF-DD77-468A-AEF9-0E43371DC16A}"/>
    <cellStyle name="Normal 5 3 3 2 2 2 3 4" xfId="10751" xr:uid="{DEEC119F-648B-4536-8DF4-453FA6D3370D}"/>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50A64280-892B-46E4-B31F-FC092DA7EC75}"/>
    <cellStyle name="Normal 5 3 3 2 2 2 4 2 3" xfId="13309" xr:uid="{A215BAF1-23CA-409D-A3F4-C29AD39D5737}"/>
    <cellStyle name="Normal 5 3 3 2 2 2 4 3" xfId="6055" xr:uid="{00000000-0005-0000-0000-000084190000}"/>
    <cellStyle name="Normal 5 3 3 2 2 2 4 3 2" xfId="15381" xr:uid="{7C28D6EA-5E57-44C3-92F4-A4DE7ECBB1E8}"/>
    <cellStyle name="Normal 5 3 3 2 2 2 4 4" xfId="11164" xr:uid="{E4416F13-3805-487F-94BF-19700C58888D}"/>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51F0C79E-D808-4D99-B004-DE2B4143FBA7}"/>
    <cellStyle name="Normal 5 3 3 2 2 2 5 2 3" xfId="13722" xr:uid="{E8FA0766-9511-4453-82F4-C0A2BA8FB8E7}"/>
    <cellStyle name="Normal 5 3 3 2 2 2 5 3" xfId="6468" xr:uid="{00000000-0005-0000-0000-000088190000}"/>
    <cellStyle name="Normal 5 3 3 2 2 2 5 3 2" xfId="15794" xr:uid="{BDE51DBE-07E2-4522-9BFD-D03BD0A6E880}"/>
    <cellStyle name="Normal 5 3 3 2 2 2 5 4" xfId="11577" xr:uid="{20A22009-FD85-43F5-A2D2-4234CA6C85E0}"/>
    <cellStyle name="Normal 5 3 3 2 2 2 6" xfId="2598" xr:uid="{00000000-0005-0000-0000-000089190000}"/>
    <cellStyle name="Normal 5 3 3 2 2 2 6 2" xfId="6881" xr:uid="{00000000-0005-0000-0000-00008A190000}"/>
    <cellStyle name="Normal 5 3 3 2 2 2 6 2 2" xfId="16207" xr:uid="{C7CB775E-D37F-40E9-8B82-58116DECA97A}"/>
    <cellStyle name="Normal 5 3 3 2 2 2 6 3" xfId="11990" xr:uid="{0E894ED1-BB6A-433C-95EC-266DB22F8E3B}"/>
    <cellStyle name="Normal 5 3 3 2 2 2 7" xfId="4816" xr:uid="{00000000-0005-0000-0000-00008B190000}"/>
    <cellStyle name="Normal 5 3 3 2 2 2 7 2" xfId="14142" xr:uid="{889B80B6-4E16-4621-9E11-53889646EB6F}"/>
    <cellStyle name="Normal 5 3 3 2 2 2 8" xfId="9142" xr:uid="{81CF9711-3A0B-4712-8E8F-033C974AA9E3}"/>
    <cellStyle name="Normal 5 3 3 2 2 2 9" xfId="9925" xr:uid="{55D1CB12-6EDF-4781-BF5C-F9B3C417F972}"/>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3405CF16-3777-4A52-9C45-4AFB1A965AA4}"/>
    <cellStyle name="Normal 5 3 3 2 2 3 2 3" xfId="12482" xr:uid="{50F7AFA8-6F82-493B-A3B7-B27548B02B23}"/>
    <cellStyle name="Normal 5 3 3 2 2 3 3" xfId="5228" xr:uid="{00000000-0005-0000-0000-00008F190000}"/>
    <cellStyle name="Normal 5 3 3 2 2 3 3 2" xfId="14554" xr:uid="{EB6ECFEA-C54B-49D5-9939-C0BCF51938B2}"/>
    <cellStyle name="Normal 5 3 3 2 2 3 4" xfId="9360" xr:uid="{07447062-3C9B-4A41-BE9D-50DE495FF588}"/>
    <cellStyle name="Normal 5 3 3 2 2 3 5" xfId="10337" xr:uid="{160F3911-BE59-46C2-A46A-E5060DE13059}"/>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28F24BBA-7E3B-47BD-A0BA-0FAE7223A9D1}"/>
    <cellStyle name="Normal 5 3 3 2 2 4 2 3" xfId="12895" xr:uid="{A254EB0C-930E-44C1-8ED1-57701C866270}"/>
    <cellStyle name="Normal 5 3 3 2 2 4 3" xfId="5641" xr:uid="{00000000-0005-0000-0000-000093190000}"/>
    <cellStyle name="Normal 5 3 3 2 2 4 3 2" xfId="14967" xr:uid="{B5F89997-DA80-4412-AABE-55437B3954DF}"/>
    <cellStyle name="Normal 5 3 3 2 2 4 4" xfId="10750" xr:uid="{D9D8E595-B910-4596-B185-EECD3711B56B}"/>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9D46B014-5ED6-4211-BA03-6A4961C4B4BB}"/>
    <cellStyle name="Normal 5 3 3 2 2 5 2 3" xfId="13308" xr:uid="{6B3B2AA0-F5F7-4EC0-8930-59CCC7EF562F}"/>
    <cellStyle name="Normal 5 3 3 2 2 5 3" xfId="6054" xr:uid="{00000000-0005-0000-0000-000097190000}"/>
    <cellStyle name="Normal 5 3 3 2 2 5 3 2" xfId="15380" xr:uid="{FF5A1166-9464-4868-8E19-2FACAFBF85EA}"/>
    <cellStyle name="Normal 5 3 3 2 2 5 4" xfId="11163" xr:uid="{CAFA7CEF-DDFA-4370-95A6-A8B49CA4CFE1}"/>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0DF4E0A0-DFE9-4F21-8A76-8DB7A651A314}"/>
    <cellStyle name="Normal 5 3 3 2 2 6 2 3" xfId="13721" xr:uid="{8E7138BB-309A-4B4A-A270-2B42F6FB23B6}"/>
    <cellStyle name="Normal 5 3 3 2 2 6 3" xfId="6467" xr:uid="{00000000-0005-0000-0000-00009B190000}"/>
    <cellStyle name="Normal 5 3 3 2 2 6 3 2" xfId="15793" xr:uid="{EDE0F923-42C7-4297-841F-5F24058C0E93}"/>
    <cellStyle name="Normal 5 3 3 2 2 6 4" xfId="11576" xr:uid="{5234C976-D582-46CA-A09F-60C7811F0F76}"/>
    <cellStyle name="Normal 5 3 3 2 2 7" xfId="2597" xr:uid="{00000000-0005-0000-0000-00009C190000}"/>
    <cellStyle name="Normal 5 3 3 2 2 7 2" xfId="6880" xr:uid="{00000000-0005-0000-0000-00009D190000}"/>
    <cellStyle name="Normal 5 3 3 2 2 7 2 2" xfId="16206" xr:uid="{20FDE4A5-4BFD-4DED-9CCB-7CFB9710602A}"/>
    <cellStyle name="Normal 5 3 3 2 2 7 3" xfId="11989" xr:uid="{0E213DC7-D17B-4746-B41C-5D6681B4E05C}"/>
    <cellStyle name="Normal 5 3 3 2 2 8" xfId="4815" xr:uid="{00000000-0005-0000-0000-00009E190000}"/>
    <cellStyle name="Normal 5 3 3 2 2 8 2" xfId="14141" xr:uid="{AC6B7018-C7D4-4B60-BF01-80050C810253}"/>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67A59B54-FB3F-4A1D-B067-DD0E472DB9DA}"/>
    <cellStyle name="Normal 5 3 3 2 3 2 2 3" xfId="12484" xr:uid="{46E93263-B355-48DF-90EA-B31F01D64E5B}"/>
    <cellStyle name="Normal 5 3 3 2 3 2 3" xfId="5230" xr:uid="{00000000-0005-0000-0000-0000A3190000}"/>
    <cellStyle name="Normal 5 3 3 2 3 2 3 2" xfId="14556" xr:uid="{48816FB9-8120-44DC-9E91-2C0A508A1FAD}"/>
    <cellStyle name="Normal 5 3 3 2 3 2 4" xfId="9464" xr:uid="{6A182EEF-0879-47AD-839A-17D560B4AF3D}"/>
    <cellStyle name="Normal 5 3 3 2 3 2 5" xfId="10339" xr:uid="{9FC6F615-8DFC-4A7F-B4AD-C14635435973}"/>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6E940A10-FCDF-47AF-B044-981E8930753E}"/>
    <cellStyle name="Normal 5 3 3 2 3 3 2 3" xfId="12897" xr:uid="{51D2801C-0A62-434B-9F83-D080227EB690}"/>
    <cellStyle name="Normal 5 3 3 2 3 3 3" xfId="5643" xr:uid="{00000000-0005-0000-0000-0000A7190000}"/>
    <cellStyle name="Normal 5 3 3 2 3 3 3 2" xfId="14969" xr:uid="{A1A613FF-67D3-4308-9B6A-A5209359CEEE}"/>
    <cellStyle name="Normal 5 3 3 2 3 3 4" xfId="10752" xr:uid="{EBDD37FA-81C3-4D43-AB94-7921F40D897E}"/>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AF3CE29E-92DC-4758-AD52-E85AF1097DC3}"/>
    <cellStyle name="Normal 5 3 3 2 3 4 2 3" xfId="13310" xr:uid="{E20BCCC0-FF2B-4B92-9C9E-60EF460A11E2}"/>
    <cellStyle name="Normal 5 3 3 2 3 4 3" xfId="6056" xr:uid="{00000000-0005-0000-0000-0000AB190000}"/>
    <cellStyle name="Normal 5 3 3 2 3 4 3 2" xfId="15382" xr:uid="{F1893EF2-F05C-45EC-9794-56CC095F45C0}"/>
    <cellStyle name="Normal 5 3 3 2 3 4 4" xfId="11165" xr:uid="{D86579A4-2D16-40BC-9773-A2A754782B7C}"/>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680A5FB4-7794-4A1C-954A-5D5C78888F6C}"/>
    <cellStyle name="Normal 5 3 3 2 3 5 2 3" xfId="13723" xr:uid="{14C5B3A0-2353-4CCC-942D-734E416E02AD}"/>
    <cellStyle name="Normal 5 3 3 2 3 5 3" xfId="6469" xr:uid="{00000000-0005-0000-0000-0000AF190000}"/>
    <cellStyle name="Normal 5 3 3 2 3 5 3 2" xfId="15795" xr:uid="{39CBA7C5-9371-4C57-A963-4AC3A6A44D2B}"/>
    <cellStyle name="Normal 5 3 3 2 3 5 4" xfId="11578" xr:uid="{7F6D7C1D-EF0F-4B82-A704-D8B5E450D374}"/>
    <cellStyle name="Normal 5 3 3 2 3 6" xfId="2599" xr:uid="{00000000-0005-0000-0000-0000B0190000}"/>
    <cellStyle name="Normal 5 3 3 2 3 6 2" xfId="6882" xr:uid="{00000000-0005-0000-0000-0000B1190000}"/>
    <cellStyle name="Normal 5 3 3 2 3 6 2 2" xfId="16208" xr:uid="{3C156E35-E9DB-445D-80E6-CCF864AE9FF3}"/>
    <cellStyle name="Normal 5 3 3 2 3 6 3" xfId="11991" xr:uid="{0EEC884F-8A30-47FF-9D19-ACD192A7B3B4}"/>
    <cellStyle name="Normal 5 3 3 2 3 7" xfId="4817" xr:uid="{00000000-0005-0000-0000-0000B2190000}"/>
    <cellStyle name="Normal 5 3 3 2 3 7 2" xfId="14143" xr:uid="{86FFEAE8-2CBE-4E6B-BAAB-6DC9E691725C}"/>
    <cellStyle name="Normal 5 3 3 2 3 8" xfId="9039" xr:uid="{84D80CE6-A0CA-4841-8673-26EA7EC6806D}"/>
    <cellStyle name="Normal 5 3 3 2 3 9" xfId="9926" xr:uid="{F69E5C5C-97B3-402A-8C58-453CCEFEFB05}"/>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F6340DBC-9DD5-47D5-B7CF-02A070503452}"/>
    <cellStyle name="Normal 5 3 3 2 4 2 3" xfId="12481" xr:uid="{31DECA87-C8C1-443C-9ABC-67F5546D47E0}"/>
    <cellStyle name="Normal 5 3 3 2 4 3" xfId="5227" xr:uid="{00000000-0005-0000-0000-0000B6190000}"/>
    <cellStyle name="Normal 5 3 3 2 4 3 2" xfId="14553" xr:uid="{041CDE05-22B6-4930-A1F8-0878225D1667}"/>
    <cellStyle name="Normal 5 3 3 2 4 4" xfId="9257" xr:uid="{E6656214-6E5B-491F-B1E3-227CB6568726}"/>
    <cellStyle name="Normal 5 3 3 2 4 5" xfId="10336" xr:uid="{3E143D2C-EAD4-4007-B997-DEF2E71C7366}"/>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5AA7C179-08F5-469B-A17E-2754445ABBF0}"/>
    <cellStyle name="Normal 5 3 3 2 5 2 3" xfId="12894" xr:uid="{F84BEFCE-D726-4A36-8926-AD8695C4735A}"/>
    <cellStyle name="Normal 5 3 3 2 5 3" xfId="5640" xr:uid="{00000000-0005-0000-0000-0000BA190000}"/>
    <cellStyle name="Normal 5 3 3 2 5 3 2" xfId="14966" xr:uid="{7659DC67-386B-4AD4-AD79-250EEC40CF15}"/>
    <cellStyle name="Normal 5 3 3 2 5 4" xfId="10749" xr:uid="{F3E1F21C-5879-4548-8AB1-4E3C65D385D1}"/>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CE830398-157C-4002-BBE3-008C70DAF29C}"/>
    <cellStyle name="Normal 5 3 3 2 6 2 3" xfId="13307" xr:uid="{B6B09DBF-C005-42B0-9A69-CD472A8D33D2}"/>
    <cellStyle name="Normal 5 3 3 2 6 3" xfId="6053" xr:uid="{00000000-0005-0000-0000-0000BE190000}"/>
    <cellStyle name="Normal 5 3 3 2 6 3 2" xfId="15379" xr:uid="{EE41685E-57C2-4A9B-BF5F-BCA62587E65D}"/>
    <cellStyle name="Normal 5 3 3 2 6 4" xfId="11162" xr:uid="{84FFEED4-F53B-466F-8F01-0D5A406D3CAF}"/>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77102077-3901-46DB-B929-91C356EBE31F}"/>
    <cellStyle name="Normal 5 3 3 2 7 2 3" xfId="13720" xr:uid="{B3CB0DF1-48C5-456F-B37D-8C83A7D2B4E7}"/>
    <cellStyle name="Normal 5 3 3 2 7 3" xfId="6466" xr:uid="{00000000-0005-0000-0000-0000C2190000}"/>
    <cellStyle name="Normal 5 3 3 2 7 3 2" xfId="15792" xr:uid="{C5218562-1323-4341-85CA-82AFDA6C0A19}"/>
    <cellStyle name="Normal 5 3 3 2 7 4" xfId="11575" xr:uid="{1C936893-3343-4832-8FEC-5D1900F73FB7}"/>
    <cellStyle name="Normal 5 3 3 2 8" xfId="2596" xr:uid="{00000000-0005-0000-0000-0000C3190000}"/>
    <cellStyle name="Normal 5 3 3 2 8 2" xfId="6879" xr:uid="{00000000-0005-0000-0000-0000C4190000}"/>
    <cellStyle name="Normal 5 3 3 2 8 2 2" xfId="16205" xr:uid="{64C77884-1B29-4011-B11E-9FB597883B93}"/>
    <cellStyle name="Normal 5 3 3 2 8 3" xfId="11988" xr:uid="{2DF43853-EF91-4DF8-80B6-3C4B966BCFD8}"/>
    <cellStyle name="Normal 5 3 3 2 9" xfId="4814" xr:uid="{00000000-0005-0000-0000-0000C5190000}"/>
    <cellStyle name="Normal 5 3 3 2 9 2" xfId="14140" xr:uid="{8DA1F0CA-94B8-4A96-AE78-C540858BE048}"/>
    <cellStyle name="Normal 5 3 3 3" xfId="446" xr:uid="{00000000-0005-0000-0000-0000C6190000}"/>
    <cellStyle name="Normal 5 3 3 3 10" xfId="9927" xr:uid="{CABD1A96-2B09-4C47-B037-CF3792674F29}"/>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2671923E-D40C-419C-AF6A-67BF74926616}"/>
    <cellStyle name="Normal 5 3 3 3 2 2 2 3" xfId="12486" xr:uid="{43E002DB-939E-4C4F-B7B2-136A52EB7651}"/>
    <cellStyle name="Normal 5 3 3 3 2 2 3" xfId="5232" xr:uid="{00000000-0005-0000-0000-0000CB190000}"/>
    <cellStyle name="Normal 5 3 3 3 2 2 3 2" xfId="14558" xr:uid="{D8811B36-671C-4525-BB2E-C5AC7A206D9B}"/>
    <cellStyle name="Normal 5 3 3 3 2 2 4" xfId="9517" xr:uid="{EA62A3B1-8ED5-4A6F-ACE0-B924BC16AA9E}"/>
    <cellStyle name="Normal 5 3 3 3 2 2 5" xfId="10341" xr:uid="{FE79446E-81A3-48BC-ABE2-C6EFB9D92AF1}"/>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93729F32-BAAD-4DDC-AE7A-9245783500FD}"/>
    <cellStyle name="Normal 5 3 3 3 2 3 2 3" xfId="12899" xr:uid="{DC17B02C-C671-42F5-8AC3-4D2D52A3B70B}"/>
    <cellStyle name="Normal 5 3 3 3 2 3 3" xfId="5645" xr:uid="{00000000-0005-0000-0000-0000CF190000}"/>
    <cellStyle name="Normal 5 3 3 3 2 3 3 2" xfId="14971" xr:uid="{B797CAAA-BFA9-4EA4-B842-B39DEC579EB1}"/>
    <cellStyle name="Normal 5 3 3 3 2 3 4" xfId="10754" xr:uid="{75468350-ABE2-480D-86A8-BE4ECD32B026}"/>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9441BB53-45EA-40B4-B7AE-213820647531}"/>
    <cellStyle name="Normal 5 3 3 3 2 4 2 3" xfId="13312" xr:uid="{20F1887D-BBB8-4BC2-A1CB-D84737AA4599}"/>
    <cellStyle name="Normal 5 3 3 3 2 4 3" xfId="6058" xr:uid="{00000000-0005-0000-0000-0000D3190000}"/>
    <cellStyle name="Normal 5 3 3 3 2 4 3 2" xfId="15384" xr:uid="{0055EBB8-CFD2-46AC-8E89-A480DB220CFA}"/>
    <cellStyle name="Normal 5 3 3 3 2 4 4" xfId="11167" xr:uid="{5F753F7F-D71A-4320-BB19-0CE29EEBB297}"/>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6BFCF3EE-FCF7-43BF-982C-B83BEE6A56F7}"/>
    <cellStyle name="Normal 5 3 3 3 2 5 2 3" xfId="13725" xr:uid="{E958D022-CA67-44D6-AECD-7E71CBF20990}"/>
    <cellStyle name="Normal 5 3 3 3 2 5 3" xfId="6471" xr:uid="{00000000-0005-0000-0000-0000D7190000}"/>
    <cellStyle name="Normal 5 3 3 3 2 5 3 2" xfId="15797" xr:uid="{3E11C934-7B56-4A38-8C7B-8C8D6F81A2B8}"/>
    <cellStyle name="Normal 5 3 3 3 2 5 4" xfId="11580" xr:uid="{9F4C6621-8EDC-4261-851A-C4A014B7CA08}"/>
    <cellStyle name="Normal 5 3 3 3 2 6" xfId="2601" xr:uid="{00000000-0005-0000-0000-0000D8190000}"/>
    <cellStyle name="Normal 5 3 3 3 2 6 2" xfId="6884" xr:uid="{00000000-0005-0000-0000-0000D9190000}"/>
    <cellStyle name="Normal 5 3 3 3 2 6 2 2" xfId="16210" xr:uid="{0FFE7605-C988-444D-8AAD-907F193A4FC0}"/>
    <cellStyle name="Normal 5 3 3 3 2 6 3" xfId="11993" xr:uid="{17668406-4631-4224-B8F4-F8CC940AEE68}"/>
    <cellStyle name="Normal 5 3 3 3 2 7" xfId="4819" xr:uid="{00000000-0005-0000-0000-0000DA190000}"/>
    <cellStyle name="Normal 5 3 3 3 2 7 2" xfId="14145" xr:uid="{97C36316-B7E8-4C5E-9547-06F6826B6AF0}"/>
    <cellStyle name="Normal 5 3 3 3 2 8" xfId="9092" xr:uid="{A018BC5E-3880-4BA4-8CFB-322C89A13B5F}"/>
    <cellStyle name="Normal 5 3 3 3 2 9" xfId="9928" xr:uid="{BD80A870-9BF4-4679-BCB5-410FC3E30470}"/>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E0F5F5BB-44B0-43BC-9B1F-F27239C15726}"/>
    <cellStyle name="Normal 5 3 3 3 3 2 3" xfId="12485" xr:uid="{3B5A0B1F-9D57-4AE7-9768-0138187916C3}"/>
    <cellStyle name="Normal 5 3 3 3 3 3" xfId="5231" xr:uid="{00000000-0005-0000-0000-0000DE190000}"/>
    <cellStyle name="Normal 5 3 3 3 3 3 2" xfId="14557" xr:uid="{FC7A650F-DF6B-4613-BC01-D71FB21F1329}"/>
    <cellStyle name="Normal 5 3 3 3 3 4" xfId="9310" xr:uid="{D169C31A-17C5-4934-97DF-D90479FD2654}"/>
    <cellStyle name="Normal 5 3 3 3 3 5" xfId="10340" xr:uid="{175E9E67-A700-4B9A-8CC9-1B2ABEE66B43}"/>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3C22E0F3-7F03-44BA-81B3-33113CA1762B}"/>
    <cellStyle name="Normal 5 3 3 3 4 2 3" xfId="12898" xr:uid="{2B4D12B5-6892-498A-BA5A-835D457C8938}"/>
    <cellStyle name="Normal 5 3 3 3 4 3" xfId="5644" xr:uid="{00000000-0005-0000-0000-0000E2190000}"/>
    <cellStyle name="Normal 5 3 3 3 4 3 2" xfId="14970" xr:uid="{54921A09-6AEC-4FC6-A7EC-436CA88F65B9}"/>
    <cellStyle name="Normal 5 3 3 3 4 4" xfId="10753" xr:uid="{A7D4E787-9450-472F-9084-F4F5168E8F76}"/>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296DAA8E-0ED5-4AAB-8C70-7F981C128D68}"/>
    <cellStyle name="Normal 5 3 3 3 5 2 3" xfId="13311" xr:uid="{AE15F5EE-8041-47E9-8FCF-981396C73AC0}"/>
    <cellStyle name="Normal 5 3 3 3 5 3" xfId="6057" xr:uid="{00000000-0005-0000-0000-0000E6190000}"/>
    <cellStyle name="Normal 5 3 3 3 5 3 2" xfId="15383" xr:uid="{9C497E36-62B9-401D-BD34-597B7C087462}"/>
    <cellStyle name="Normal 5 3 3 3 5 4" xfId="11166" xr:uid="{47DA01CA-1366-4F23-A602-C4CC9BB9ED06}"/>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8A59452E-0D10-405A-91BA-972D294E26C8}"/>
    <cellStyle name="Normal 5 3 3 3 6 2 3" xfId="13724" xr:uid="{B292E25D-8206-4B68-AD99-AF0BEF02DB99}"/>
    <cellStyle name="Normal 5 3 3 3 6 3" xfId="6470" xr:uid="{00000000-0005-0000-0000-0000EA190000}"/>
    <cellStyle name="Normal 5 3 3 3 6 3 2" xfId="15796" xr:uid="{6A4A4045-3426-447A-B27D-CE4196519A66}"/>
    <cellStyle name="Normal 5 3 3 3 6 4" xfId="11579" xr:uid="{98D803D3-0246-4DE8-B924-43B2D1D1FDEE}"/>
    <cellStyle name="Normal 5 3 3 3 7" xfId="2600" xr:uid="{00000000-0005-0000-0000-0000EB190000}"/>
    <cellStyle name="Normal 5 3 3 3 7 2" xfId="6883" xr:uid="{00000000-0005-0000-0000-0000EC190000}"/>
    <cellStyle name="Normal 5 3 3 3 7 2 2" xfId="16209" xr:uid="{0F681C60-7E73-4BB5-9286-CABCE0EB134D}"/>
    <cellStyle name="Normal 5 3 3 3 7 3" xfId="11992" xr:uid="{FCE5B2E3-4E59-4B9F-ADEA-F7E091565A9D}"/>
    <cellStyle name="Normal 5 3 3 3 8" xfId="4818" xr:uid="{00000000-0005-0000-0000-0000ED190000}"/>
    <cellStyle name="Normal 5 3 3 3 8 2" xfId="14144" xr:uid="{5DE2B3F5-1268-4F1A-9E88-D68303B05D9E}"/>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D6C76C33-4864-4E55-B7E5-C7ED66922FE9}"/>
    <cellStyle name="Normal 5 3 3 4 2 2 3" xfId="12487" xr:uid="{ADDDD60C-D926-4343-A556-82530FE6794F}"/>
    <cellStyle name="Normal 5 3 3 4 2 3" xfId="5233" xr:uid="{00000000-0005-0000-0000-0000F2190000}"/>
    <cellStyle name="Normal 5 3 3 4 2 3 2" xfId="14559" xr:uid="{319B556F-04F8-4356-A98D-1388B7C5D397}"/>
    <cellStyle name="Normal 5 3 3 4 2 4" xfId="9414" xr:uid="{BD781A4C-FDA7-4D11-87F3-3D38EC19B37A}"/>
    <cellStyle name="Normal 5 3 3 4 2 5" xfId="10342" xr:uid="{F570EF61-2F0E-4675-B26E-1A7B3542978C}"/>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5B63D398-8D85-43C1-A548-23D66DD13FAB}"/>
    <cellStyle name="Normal 5 3 3 4 3 2 3" xfId="12900" xr:uid="{FAA3A195-59C1-47D9-A1E6-F07AEA69A42C}"/>
    <cellStyle name="Normal 5 3 3 4 3 3" xfId="5646" xr:uid="{00000000-0005-0000-0000-0000F6190000}"/>
    <cellStyle name="Normal 5 3 3 4 3 3 2" xfId="14972" xr:uid="{95B363E4-5707-40E1-A433-6EB6E6B8F4C6}"/>
    <cellStyle name="Normal 5 3 3 4 3 4" xfId="10755" xr:uid="{445DF3FA-1C8F-492F-B408-FD01E04BF71F}"/>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B41A208E-DFDA-47EE-99A0-46C873DD8D15}"/>
    <cellStyle name="Normal 5 3 3 4 4 2 3" xfId="13313" xr:uid="{BEAF02AE-485B-4657-A758-D91004F5535C}"/>
    <cellStyle name="Normal 5 3 3 4 4 3" xfId="6059" xr:uid="{00000000-0005-0000-0000-0000FA190000}"/>
    <cellStyle name="Normal 5 3 3 4 4 3 2" xfId="15385" xr:uid="{92367D2B-B6F2-47FE-8810-1B4A70192A2B}"/>
    <cellStyle name="Normal 5 3 3 4 4 4" xfId="11168" xr:uid="{9EE61A96-FE2A-46F8-9109-729AF0321ACD}"/>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EEB84C12-8D15-4F51-9980-0E2372D525B6}"/>
    <cellStyle name="Normal 5 3 3 4 5 2 3" xfId="13726" xr:uid="{06224E57-AFCC-4A9B-903E-861AB672F89A}"/>
    <cellStyle name="Normal 5 3 3 4 5 3" xfId="6472" xr:uid="{00000000-0005-0000-0000-0000FE190000}"/>
    <cellStyle name="Normal 5 3 3 4 5 3 2" xfId="15798" xr:uid="{3CE6D7DC-E9A1-4637-B979-505ECE262E66}"/>
    <cellStyle name="Normal 5 3 3 4 5 4" xfId="11581" xr:uid="{F2447503-946F-41B6-AFEF-FBF28B300D3C}"/>
    <cellStyle name="Normal 5 3 3 4 6" xfId="2602" xr:uid="{00000000-0005-0000-0000-0000FF190000}"/>
    <cellStyle name="Normal 5 3 3 4 6 2" xfId="6885" xr:uid="{00000000-0005-0000-0000-0000001A0000}"/>
    <cellStyle name="Normal 5 3 3 4 6 2 2" xfId="16211" xr:uid="{63198CD9-36DF-4B45-BE44-77ED75DCC888}"/>
    <cellStyle name="Normal 5 3 3 4 6 3" xfId="11994" xr:uid="{9AF51079-FD79-466B-83BF-7AFF7F68224F}"/>
    <cellStyle name="Normal 5 3 3 4 7" xfId="4820" xr:uid="{00000000-0005-0000-0000-0000011A0000}"/>
    <cellStyle name="Normal 5 3 3 4 7 2" xfId="14146" xr:uid="{257C3B52-0812-4296-990B-47C7A4D55D04}"/>
    <cellStyle name="Normal 5 3 3 4 8" xfId="8989" xr:uid="{20FA1483-98E6-46C4-B00B-4EAF7957981D}"/>
    <cellStyle name="Normal 5 3 3 4 9" xfId="9929" xr:uid="{93CD5B8F-CAD9-44B1-9B33-0FDAB8253A69}"/>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5EE6F19E-3F85-4695-9AC7-E501FFF9F388}"/>
    <cellStyle name="Normal 5 3 3 5 2 3" xfId="12480" xr:uid="{5698C124-C24B-4F7A-87F5-7735A39129F0}"/>
    <cellStyle name="Normal 5 3 3 5 3" xfId="5226" xr:uid="{00000000-0005-0000-0000-0000051A0000}"/>
    <cellStyle name="Normal 5 3 3 5 3 2" xfId="14552" xr:uid="{B2B7B1D2-F04F-4A53-9659-608C9531B3B1}"/>
    <cellStyle name="Normal 5 3 3 5 4" xfId="9206" xr:uid="{CA749CBB-EAB5-483B-862D-D7B95A23D45C}"/>
    <cellStyle name="Normal 5 3 3 5 5" xfId="10335" xr:uid="{B56B45FE-00A1-4999-A595-699E14D6B930}"/>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C919236F-4624-4C3F-A39A-A8600404DAE4}"/>
    <cellStyle name="Normal 5 3 3 6 2 3" xfId="12893" xr:uid="{C544B1AF-A06B-4A6F-94E0-859EDB16A360}"/>
    <cellStyle name="Normal 5 3 3 6 3" xfId="5639" xr:uid="{00000000-0005-0000-0000-0000091A0000}"/>
    <cellStyle name="Normal 5 3 3 6 3 2" xfId="14965" xr:uid="{B36BC401-C882-4A8E-B26C-3AA976613061}"/>
    <cellStyle name="Normal 5 3 3 6 4" xfId="10748" xr:uid="{2D212C60-47F6-4868-875D-C8F77B388F7F}"/>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E199069A-2F6A-47A8-A8BC-5A2EE8EF1409}"/>
    <cellStyle name="Normal 5 3 3 7 2 3" xfId="13306" xr:uid="{5CA00B80-45EA-4137-A66D-686A1726A466}"/>
    <cellStyle name="Normal 5 3 3 7 3" xfId="6052" xr:uid="{00000000-0005-0000-0000-00000D1A0000}"/>
    <cellStyle name="Normal 5 3 3 7 3 2" xfId="15378" xr:uid="{C1AFA548-62A3-48CF-A16F-B4F46A739D26}"/>
    <cellStyle name="Normal 5 3 3 7 4" xfId="11161" xr:uid="{4932297A-7CD6-4DB3-B3B3-5E5663F4D3B9}"/>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813E7261-405F-434C-81B8-FC67EF16185B}"/>
    <cellStyle name="Normal 5 3 3 8 2 3" xfId="13719" xr:uid="{3572DDC4-2B35-40F8-ACBE-507189C0C36D}"/>
    <cellStyle name="Normal 5 3 3 8 3" xfId="6465" xr:uid="{00000000-0005-0000-0000-0000111A0000}"/>
    <cellStyle name="Normal 5 3 3 8 3 2" xfId="15791" xr:uid="{3E526402-97A6-4F84-AD8C-E203A931CAF0}"/>
    <cellStyle name="Normal 5 3 3 8 4" xfId="11574" xr:uid="{9FC7025A-D5D3-44ED-8C01-754F26E8D507}"/>
    <cellStyle name="Normal 5 3 3 9" xfId="2595" xr:uid="{00000000-0005-0000-0000-0000121A0000}"/>
    <cellStyle name="Normal 5 3 3 9 2" xfId="6878" xr:uid="{00000000-0005-0000-0000-0000131A0000}"/>
    <cellStyle name="Normal 5 3 3 9 2 2" xfId="16204" xr:uid="{D98184F9-8B29-4C79-B97D-6C40215C0D6E}"/>
    <cellStyle name="Normal 5 3 3 9 3" xfId="11987" xr:uid="{BB0A90E3-3B50-48C9-8F31-345C943F69AF}"/>
    <cellStyle name="Normal 5 3 4" xfId="449" xr:uid="{00000000-0005-0000-0000-0000141A0000}"/>
    <cellStyle name="Normal 5 3 4 10" xfId="8831" xr:uid="{39AD872D-FBC2-4C4A-B537-79F8014E4247}"/>
    <cellStyle name="Normal 5 3 4 11" xfId="9930" xr:uid="{F2FA5F51-64F3-43A5-B3A4-044F57058864}"/>
    <cellStyle name="Normal 5 3 4 2" xfId="450" xr:uid="{00000000-0005-0000-0000-0000151A0000}"/>
    <cellStyle name="Normal 5 3 4 2 10" xfId="9931" xr:uid="{2D1E4F41-9E67-4A77-AF87-C85A6885D7DB}"/>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50C93867-7DC7-47A9-9918-3E06B09EC134}"/>
    <cellStyle name="Normal 5 3 4 2 2 2 2 3" xfId="12490" xr:uid="{E5BE0FC2-9CD8-4D2B-BD92-B575FE375CA1}"/>
    <cellStyle name="Normal 5 3 4 2 2 2 3" xfId="5236" xr:uid="{00000000-0005-0000-0000-00001A1A0000}"/>
    <cellStyle name="Normal 5 3 4 2 2 2 3 2" xfId="14562" xr:uid="{120F852D-6D5F-4A04-9473-2747253E2A54}"/>
    <cellStyle name="Normal 5 3 4 2 2 2 4" xfId="9566" xr:uid="{D483C248-9680-462F-989C-42C712CD6EB7}"/>
    <cellStyle name="Normal 5 3 4 2 2 2 5" xfId="10345" xr:uid="{8A487751-08CC-472B-A2A4-95E0BF4569DE}"/>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8FF9C714-F7B7-49B3-99A4-1570B65D541F}"/>
    <cellStyle name="Normal 5 3 4 2 2 3 2 3" xfId="12903" xr:uid="{8DA54599-B2FD-4B84-BDEE-ABA67A4B6456}"/>
    <cellStyle name="Normal 5 3 4 2 2 3 3" xfId="5649" xr:uid="{00000000-0005-0000-0000-00001E1A0000}"/>
    <cellStyle name="Normal 5 3 4 2 2 3 3 2" xfId="14975" xr:uid="{243BC753-8E79-4A8E-B760-A7F71AF43B39}"/>
    <cellStyle name="Normal 5 3 4 2 2 3 4" xfId="10758" xr:uid="{F087A8FA-6BEF-4C11-9D70-7631DD646733}"/>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A776CD82-C416-4632-9AD0-A1BC29916908}"/>
    <cellStyle name="Normal 5 3 4 2 2 4 2 3" xfId="13316" xr:uid="{88B91AAE-0180-4EA5-AC60-8C61F301F074}"/>
    <cellStyle name="Normal 5 3 4 2 2 4 3" xfId="6062" xr:uid="{00000000-0005-0000-0000-0000221A0000}"/>
    <cellStyle name="Normal 5 3 4 2 2 4 3 2" xfId="15388" xr:uid="{100EBAAE-0C2A-4E5A-857D-76BCABD7E46A}"/>
    <cellStyle name="Normal 5 3 4 2 2 4 4" xfId="11171" xr:uid="{A9086A74-C600-4539-8932-3BAE1AAD252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BBEC6ED3-388C-413B-A053-4FCEA66DEB37}"/>
    <cellStyle name="Normal 5 3 4 2 2 5 2 3" xfId="13729" xr:uid="{EC68A07D-A4AF-4F26-A994-6C699A6BCCC9}"/>
    <cellStyle name="Normal 5 3 4 2 2 5 3" xfId="6475" xr:uid="{00000000-0005-0000-0000-0000261A0000}"/>
    <cellStyle name="Normal 5 3 4 2 2 5 3 2" xfId="15801" xr:uid="{72BF7EF7-A2C2-4043-BC7A-200FF37A7C33}"/>
    <cellStyle name="Normal 5 3 4 2 2 5 4" xfId="11584" xr:uid="{5029FD4B-F6DD-4868-A135-7F5B93144E6E}"/>
    <cellStyle name="Normal 5 3 4 2 2 6" xfId="2605" xr:uid="{00000000-0005-0000-0000-0000271A0000}"/>
    <cellStyle name="Normal 5 3 4 2 2 6 2" xfId="6888" xr:uid="{00000000-0005-0000-0000-0000281A0000}"/>
    <cellStyle name="Normal 5 3 4 2 2 6 2 2" xfId="16214" xr:uid="{85AFA080-1855-4816-B1B5-15725E8BF382}"/>
    <cellStyle name="Normal 5 3 4 2 2 6 3" xfId="11997" xr:uid="{B1A79A77-6F12-4350-83BF-BE166811507B}"/>
    <cellStyle name="Normal 5 3 4 2 2 7" xfId="4823" xr:uid="{00000000-0005-0000-0000-0000291A0000}"/>
    <cellStyle name="Normal 5 3 4 2 2 7 2" xfId="14149" xr:uid="{A587E01A-C449-4979-BDEF-27D7DFE96275}"/>
    <cellStyle name="Normal 5 3 4 2 2 8" xfId="9141" xr:uid="{6B63A6D0-0E60-498B-8E53-451D5144533A}"/>
    <cellStyle name="Normal 5 3 4 2 2 9" xfId="9932" xr:uid="{FD59FD14-AE43-4559-A017-74ED139111C6}"/>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697DD556-75B5-4C5F-B1CF-EEC7DE2E056C}"/>
    <cellStyle name="Normal 5 3 4 2 3 2 3" xfId="12489" xr:uid="{AA7FF75E-D472-4AB1-A888-D9754140BB4C}"/>
    <cellStyle name="Normal 5 3 4 2 3 3" xfId="5235" xr:uid="{00000000-0005-0000-0000-00002D1A0000}"/>
    <cellStyle name="Normal 5 3 4 2 3 3 2" xfId="14561" xr:uid="{3A980325-AC76-4F40-A2BB-9FB3DB57B7FF}"/>
    <cellStyle name="Normal 5 3 4 2 3 4" xfId="9359" xr:uid="{FAC41203-2BC4-411F-9296-10781BA4F1AB}"/>
    <cellStyle name="Normal 5 3 4 2 3 5" xfId="10344" xr:uid="{649C5A08-C8A5-41B0-B291-9DBC4AFC4B9E}"/>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8289AF69-D31B-43C8-8CD8-B44E92355CA9}"/>
    <cellStyle name="Normal 5 3 4 2 4 2 3" xfId="12902" xr:uid="{C2F6C4DD-1E5F-4312-8FCE-D8DC75C830DD}"/>
    <cellStyle name="Normal 5 3 4 2 4 3" xfId="5648" xr:uid="{00000000-0005-0000-0000-0000311A0000}"/>
    <cellStyle name="Normal 5 3 4 2 4 3 2" xfId="14974" xr:uid="{EEC63D63-6170-4C77-8D62-52D0D133255D}"/>
    <cellStyle name="Normal 5 3 4 2 4 4" xfId="10757" xr:uid="{2D64ECDC-17BB-4153-94B9-A6FA9871410A}"/>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EA63C9F6-4950-47CB-89E0-25B119F4BF08}"/>
    <cellStyle name="Normal 5 3 4 2 5 2 3" xfId="13315" xr:uid="{ED1C070E-1146-4119-B713-4D9B42D0BFF2}"/>
    <cellStyle name="Normal 5 3 4 2 5 3" xfId="6061" xr:uid="{00000000-0005-0000-0000-0000351A0000}"/>
    <cellStyle name="Normal 5 3 4 2 5 3 2" xfId="15387" xr:uid="{88746ACD-7001-4419-864D-91210773472C}"/>
    <cellStyle name="Normal 5 3 4 2 5 4" xfId="11170" xr:uid="{95838ACD-83D9-4A8E-8B65-E65EE75BAB92}"/>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2DDEB36C-3AEB-4B2A-AFD5-8251CF8E731A}"/>
    <cellStyle name="Normal 5 3 4 2 6 2 3" xfId="13728" xr:uid="{A32AA180-42E7-4318-9DBC-D23EE489C211}"/>
    <cellStyle name="Normal 5 3 4 2 6 3" xfId="6474" xr:uid="{00000000-0005-0000-0000-0000391A0000}"/>
    <cellStyle name="Normal 5 3 4 2 6 3 2" xfId="15800" xr:uid="{7ABAD1FC-5DFF-45AE-967F-63F575BC0923}"/>
    <cellStyle name="Normal 5 3 4 2 6 4" xfId="11583" xr:uid="{1D0CF8EB-7378-4A3B-BC23-6FA20B4594C3}"/>
    <cellStyle name="Normal 5 3 4 2 7" xfId="2604" xr:uid="{00000000-0005-0000-0000-00003A1A0000}"/>
    <cellStyle name="Normal 5 3 4 2 7 2" xfId="6887" xr:uid="{00000000-0005-0000-0000-00003B1A0000}"/>
    <cellStyle name="Normal 5 3 4 2 7 2 2" xfId="16213" xr:uid="{7755F430-5703-4778-A750-436DF7BB71B5}"/>
    <cellStyle name="Normal 5 3 4 2 7 3" xfId="11996" xr:uid="{42DDB3DD-520D-49BD-A1EE-CF4464D5FC6F}"/>
    <cellStyle name="Normal 5 3 4 2 8" xfId="4822" xr:uid="{00000000-0005-0000-0000-00003C1A0000}"/>
    <cellStyle name="Normal 5 3 4 2 8 2" xfId="14148" xr:uid="{8D573AD9-34F6-4DD9-8DF4-EA87B15B0545}"/>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F55D8A44-B63D-4FAE-8995-CB17BDF33B98}"/>
    <cellStyle name="Normal 5 3 4 3 2 2 3" xfId="12491" xr:uid="{5FA598FD-02A0-4DBD-B4A2-EE691D173F89}"/>
    <cellStyle name="Normal 5 3 4 3 2 3" xfId="5237" xr:uid="{00000000-0005-0000-0000-0000411A0000}"/>
    <cellStyle name="Normal 5 3 4 3 2 3 2" xfId="14563" xr:uid="{76A67791-8EEE-4B0A-AF57-886932986CC3}"/>
    <cellStyle name="Normal 5 3 4 3 2 4" xfId="9463" xr:uid="{1CC38E89-013B-404F-9F3E-11BABC37F656}"/>
    <cellStyle name="Normal 5 3 4 3 2 5" xfId="10346" xr:uid="{C8D9B055-F964-4833-8078-A95ADCF93F77}"/>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083E1D2A-5B4C-4393-93D3-A27F72508A23}"/>
    <cellStyle name="Normal 5 3 4 3 3 2 3" xfId="12904" xr:uid="{34AD7C15-0D99-4D59-A0C2-B24CA1E47C0A}"/>
    <cellStyle name="Normal 5 3 4 3 3 3" xfId="5650" xr:uid="{00000000-0005-0000-0000-0000451A0000}"/>
    <cellStyle name="Normal 5 3 4 3 3 3 2" xfId="14976" xr:uid="{1212272B-BE23-4180-8B08-8F881114CEF2}"/>
    <cellStyle name="Normal 5 3 4 3 3 4" xfId="10759" xr:uid="{CDDA7ECD-C2E4-4837-955B-AF2728E39C76}"/>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E8173B9D-61D6-4D37-8A29-4AD8FEFE6DCC}"/>
    <cellStyle name="Normal 5 3 4 3 4 2 3" xfId="13317" xr:uid="{A15AB19B-0104-4048-8C16-DE8B0524FE61}"/>
    <cellStyle name="Normal 5 3 4 3 4 3" xfId="6063" xr:uid="{00000000-0005-0000-0000-0000491A0000}"/>
    <cellStyle name="Normal 5 3 4 3 4 3 2" xfId="15389" xr:uid="{E26D449F-A01E-4343-BA0C-DCB27041D3F4}"/>
    <cellStyle name="Normal 5 3 4 3 4 4" xfId="11172" xr:uid="{93DE06A4-BDA7-413B-87EF-DFB2D6379ACD}"/>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1927949B-B0BE-43A0-8B67-2936271326C9}"/>
    <cellStyle name="Normal 5 3 4 3 5 2 3" xfId="13730" xr:uid="{BF6EDDAE-E9D5-4220-B2CD-FB4DFFFB8E20}"/>
    <cellStyle name="Normal 5 3 4 3 5 3" xfId="6476" xr:uid="{00000000-0005-0000-0000-00004D1A0000}"/>
    <cellStyle name="Normal 5 3 4 3 5 3 2" xfId="15802" xr:uid="{7728596D-82A1-43A5-859D-24AF82E4941B}"/>
    <cellStyle name="Normal 5 3 4 3 5 4" xfId="11585" xr:uid="{2BA73F90-9227-4B43-8CE3-9C5911B71CED}"/>
    <cellStyle name="Normal 5 3 4 3 6" xfId="2606" xr:uid="{00000000-0005-0000-0000-00004E1A0000}"/>
    <cellStyle name="Normal 5 3 4 3 6 2" xfId="6889" xr:uid="{00000000-0005-0000-0000-00004F1A0000}"/>
    <cellStyle name="Normal 5 3 4 3 6 2 2" xfId="16215" xr:uid="{66AAC08C-2E30-47B2-9DBE-460B7B3983D7}"/>
    <cellStyle name="Normal 5 3 4 3 6 3" xfId="11998" xr:uid="{9F9CC487-4504-4E9B-B872-42A6B18C9325}"/>
    <cellStyle name="Normal 5 3 4 3 7" xfId="4824" xr:uid="{00000000-0005-0000-0000-0000501A0000}"/>
    <cellStyle name="Normal 5 3 4 3 7 2" xfId="14150" xr:uid="{5A11BBCD-6F0D-431D-9E4B-AD53314B9DF6}"/>
    <cellStyle name="Normal 5 3 4 3 8" xfId="9038" xr:uid="{15024032-E3C2-4FDD-B674-481D39A836C5}"/>
    <cellStyle name="Normal 5 3 4 3 9" xfId="9933" xr:uid="{F7AAF7B0-C614-4F5D-AD7D-6FFABB7F83DA}"/>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CC8762DB-1335-41DC-ADA6-9DBE4D91C853}"/>
    <cellStyle name="Normal 5 3 4 4 2 3" xfId="12488" xr:uid="{0C2120D9-32CE-4381-9E2B-208EFE5A3DE0}"/>
    <cellStyle name="Normal 5 3 4 4 3" xfId="5234" xr:uid="{00000000-0005-0000-0000-0000541A0000}"/>
    <cellStyle name="Normal 5 3 4 4 3 2" xfId="14560" xr:uid="{C8AC3E9B-B96F-4906-8603-CCD904865D58}"/>
    <cellStyle name="Normal 5 3 4 4 4" xfId="9256" xr:uid="{69A14F57-2B46-4294-8CA5-E21858516C25}"/>
    <cellStyle name="Normal 5 3 4 4 5" xfId="10343" xr:uid="{353C4A61-9CEB-4DE7-99DD-E8AD260ADEFD}"/>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58E7D892-EC81-4DFD-9C1F-BDD3D10E0492}"/>
    <cellStyle name="Normal 5 3 4 5 2 3" xfId="12901" xr:uid="{7A7D89D6-25A5-46B9-8BF5-E445DA180A01}"/>
    <cellStyle name="Normal 5 3 4 5 3" xfId="5647" xr:uid="{00000000-0005-0000-0000-0000581A0000}"/>
    <cellStyle name="Normal 5 3 4 5 3 2" xfId="14973" xr:uid="{DD06253B-C7AD-489D-A1FF-29A023F176DB}"/>
    <cellStyle name="Normal 5 3 4 5 4" xfId="10756" xr:uid="{0BA726FC-272E-442F-8A93-05B32AE48808}"/>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D98EBE55-9F7A-4FA2-8CDF-8F5CD67AEAE7}"/>
    <cellStyle name="Normal 5 3 4 6 2 3" xfId="13314" xr:uid="{CE3B0992-D03E-45D4-82D9-899F2C4206E2}"/>
    <cellStyle name="Normal 5 3 4 6 3" xfId="6060" xr:uid="{00000000-0005-0000-0000-00005C1A0000}"/>
    <cellStyle name="Normal 5 3 4 6 3 2" xfId="15386" xr:uid="{E931FE61-54CA-457B-9E63-3DD5C45F6244}"/>
    <cellStyle name="Normal 5 3 4 6 4" xfId="11169" xr:uid="{01480F12-C61E-43C1-A0F3-88B30C29EE04}"/>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621F3D2E-4B16-4726-9C94-4DB5352BAED6}"/>
    <cellStyle name="Normal 5 3 4 7 2 3" xfId="13727" xr:uid="{65776780-1311-4B26-A30F-9AA874724988}"/>
    <cellStyle name="Normal 5 3 4 7 3" xfId="6473" xr:uid="{00000000-0005-0000-0000-0000601A0000}"/>
    <cellStyle name="Normal 5 3 4 7 3 2" xfId="15799" xr:uid="{FA34E810-6E72-43EF-A19C-A19A123BDC4D}"/>
    <cellStyle name="Normal 5 3 4 7 4" xfId="11582" xr:uid="{D4954BF7-E80A-4C33-9EE9-6A921FC07650}"/>
    <cellStyle name="Normal 5 3 4 8" xfId="2603" xr:uid="{00000000-0005-0000-0000-0000611A0000}"/>
    <cellStyle name="Normal 5 3 4 8 2" xfId="6886" xr:uid="{00000000-0005-0000-0000-0000621A0000}"/>
    <cellStyle name="Normal 5 3 4 8 2 2" xfId="16212" xr:uid="{C8F17A2A-0CAC-4BD5-9599-60E8294A7B4F}"/>
    <cellStyle name="Normal 5 3 4 8 3" xfId="11995" xr:uid="{F08CB44C-84FE-4D0F-86FE-01251FDC521A}"/>
    <cellStyle name="Normal 5 3 4 9" xfId="4821" xr:uid="{00000000-0005-0000-0000-0000631A0000}"/>
    <cellStyle name="Normal 5 3 4 9 2" xfId="14147" xr:uid="{155CDF7D-9E0B-4D70-B109-44B0BE4F00C5}"/>
    <cellStyle name="Normal 5 3 5" xfId="453" xr:uid="{00000000-0005-0000-0000-0000641A0000}"/>
    <cellStyle name="Normal 5 3 5 10" xfId="9934" xr:uid="{597AF335-A55C-486C-A386-349DA5257648}"/>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155F9562-34B5-4CFE-8ADC-1B18971B4478}"/>
    <cellStyle name="Normal 5 3 5 2 2 2 3" xfId="12493" xr:uid="{23C7D48D-6371-44EA-8319-C2765F82643A}"/>
    <cellStyle name="Normal 5 3 5 2 2 3" xfId="5239" xr:uid="{00000000-0005-0000-0000-0000691A0000}"/>
    <cellStyle name="Normal 5 3 5 2 2 3 2" xfId="14565" xr:uid="{1BA2DC9C-692D-45B7-B1A4-BF7EAF38C6A7}"/>
    <cellStyle name="Normal 5 3 5 2 2 4" xfId="9485" xr:uid="{E88A0512-4544-44F7-B02F-696DEB177F8E}"/>
    <cellStyle name="Normal 5 3 5 2 2 5" xfId="10348" xr:uid="{B677190F-72E3-4676-9D96-F1F47F50EACA}"/>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6592AEBA-586F-475B-B8A7-7F720C063F32}"/>
    <cellStyle name="Normal 5 3 5 2 3 2 3" xfId="12906" xr:uid="{62CF82C1-8659-4CB5-AE40-45F066C2D2A2}"/>
    <cellStyle name="Normal 5 3 5 2 3 3" xfId="5652" xr:uid="{00000000-0005-0000-0000-00006D1A0000}"/>
    <cellStyle name="Normal 5 3 5 2 3 3 2" xfId="14978" xr:uid="{FC2D8550-E05C-41E8-B758-CD27E99DC448}"/>
    <cellStyle name="Normal 5 3 5 2 3 4" xfId="10761" xr:uid="{6795E4AB-C074-4224-9839-E15168D57248}"/>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AEE01214-4B3A-4D37-8565-31E2E558B5A8}"/>
    <cellStyle name="Normal 5 3 5 2 4 2 3" xfId="13319" xr:uid="{CB4A4627-3622-402A-A493-C3D0E9108791}"/>
    <cellStyle name="Normal 5 3 5 2 4 3" xfId="6065" xr:uid="{00000000-0005-0000-0000-0000711A0000}"/>
    <cellStyle name="Normal 5 3 5 2 4 3 2" xfId="15391" xr:uid="{BDC38D79-E1BC-4EDC-8B5F-CD04D8DE54CB}"/>
    <cellStyle name="Normal 5 3 5 2 4 4" xfId="11174" xr:uid="{AA67AF89-5CA1-45B8-93BC-EFF9D0DC9EA7}"/>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159973A1-605F-4998-A459-9D4726CBB71C}"/>
    <cellStyle name="Normal 5 3 5 2 5 2 3" xfId="13732" xr:uid="{67B44079-AC82-454D-B654-17DB96C4ADA4}"/>
    <cellStyle name="Normal 5 3 5 2 5 3" xfId="6478" xr:uid="{00000000-0005-0000-0000-0000751A0000}"/>
    <cellStyle name="Normal 5 3 5 2 5 3 2" xfId="15804" xr:uid="{6E8AA44C-2E1E-4DA4-A651-07AD8305D159}"/>
    <cellStyle name="Normal 5 3 5 2 5 4" xfId="11587" xr:uid="{76149A79-323E-4F21-968F-2E7F5815CE06}"/>
    <cellStyle name="Normal 5 3 5 2 6" xfId="2608" xr:uid="{00000000-0005-0000-0000-0000761A0000}"/>
    <cellStyle name="Normal 5 3 5 2 6 2" xfId="6891" xr:uid="{00000000-0005-0000-0000-0000771A0000}"/>
    <cellStyle name="Normal 5 3 5 2 6 2 2" xfId="16217" xr:uid="{4AD98793-A38E-4E48-A6FF-F65C8E0805E0}"/>
    <cellStyle name="Normal 5 3 5 2 6 3" xfId="12000" xr:uid="{4777370B-A450-421C-BFCD-843F7F00C3E9}"/>
    <cellStyle name="Normal 5 3 5 2 7" xfId="4826" xr:uid="{00000000-0005-0000-0000-0000781A0000}"/>
    <cellStyle name="Normal 5 3 5 2 7 2" xfId="14152" xr:uid="{E496CCEA-4F35-4E18-9F5D-C3A058A104F4}"/>
    <cellStyle name="Normal 5 3 5 2 8" xfId="9060" xr:uid="{D76124DC-5753-46E4-97E7-1D76E6E20EEE}"/>
    <cellStyle name="Normal 5 3 5 2 9" xfId="9935" xr:uid="{658289F3-BC4E-40C9-9695-9C91E2ECFAC0}"/>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681D7781-E763-4928-A3B3-DFCE68550195}"/>
    <cellStyle name="Normal 5 3 5 3 2 3" xfId="12492" xr:uid="{D318C5BB-0CED-47D8-AE2E-C83C49017B9C}"/>
    <cellStyle name="Normal 5 3 5 3 3" xfId="5238" xr:uid="{00000000-0005-0000-0000-00007C1A0000}"/>
    <cellStyle name="Normal 5 3 5 3 3 2" xfId="14564" xr:uid="{3E9D1367-1EB5-4B1F-963B-196CEEB6B4CB}"/>
    <cellStyle name="Normal 5 3 5 3 4" xfId="9278" xr:uid="{6197750A-97CA-41EF-A67C-63E25EE58E9E}"/>
    <cellStyle name="Normal 5 3 5 3 5" xfId="10347" xr:uid="{70E03ABA-EFD4-4E53-BB59-BFE4EBEDE48E}"/>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065D1928-9353-4716-82E2-BFD4D239A143}"/>
    <cellStyle name="Normal 5 3 5 4 2 3" xfId="12905" xr:uid="{520FE044-1A3D-470B-9555-9A24DB2C0A9D}"/>
    <cellStyle name="Normal 5 3 5 4 3" xfId="5651" xr:uid="{00000000-0005-0000-0000-0000801A0000}"/>
    <cellStyle name="Normal 5 3 5 4 3 2" xfId="14977" xr:uid="{C8B500F7-5C47-45D2-88F9-2A8E90B7AB23}"/>
    <cellStyle name="Normal 5 3 5 4 4" xfId="10760" xr:uid="{86914534-BBFD-4B0F-A8EB-C56C4187B10E}"/>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BC82E439-7707-40D9-94F3-BC0C79D1875B}"/>
    <cellStyle name="Normal 5 3 5 5 2 3" xfId="13318" xr:uid="{D2D94F09-01CB-4419-A7EA-E0545321768F}"/>
    <cellStyle name="Normal 5 3 5 5 3" xfId="6064" xr:uid="{00000000-0005-0000-0000-0000841A0000}"/>
    <cellStyle name="Normal 5 3 5 5 3 2" xfId="15390" xr:uid="{C510614B-AE51-4A38-8D75-88E956BB1739}"/>
    <cellStyle name="Normal 5 3 5 5 4" xfId="11173" xr:uid="{0E466A9F-15BB-49EE-BA19-84BB4DC1C700}"/>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29FCCB6C-420F-481A-84B9-A6E8062471A1}"/>
    <cellStyle name="Normal 5 3 5 6 2 3" xfId="13731" xr:uid="{6909DD99-6153-44FB-8E72-68FCEEFA1C0F}"/>
    <cellStyle name="Normal 5 3 5 6 3" xfId="6477" xr:uid="{00000000-0005-0000-0000-0000881A0000}"/>
    <cellStyle name="Normal 5 3 5 6 3 2" xfId="15803" xr:uid="{B44BA950-D66B-48BD-A719-E68D2F0D48CD}"/>
    <cellStyle name="Normal 5 3 5 6 4" xfId="11586" xr:uid="{BF692C13-ACB5-46D8-99E4-A7E32DC82F17}"/>
    <cellStyle name="Normal 5 3 5 7" xfId="2607" xr:uid="{00000000-0005-0000-0000-0000891A0000}"/>
    <cellStyle name="Normal 5 3 5 7 2" xfId="6890" xr:uid="{00000000-0005-0000-0000-00008A1A0000}"/>
    <cellStyle name="Normal 5 3 5 7 2 2" xfId="16216" xr:uid="{E70B5EAF-20D7-4432-AD66-2C24C2712237}"/>
    <cellStyle name="Normal 5 3 5 7 3" xfId="11999" xr:uid="{F97F9A63-57DA-4772-B615-C72232FE90CF}"/>
    <cellStyle name="Normal 5 3 5 8" xfId="4825" xr:uid="{00000000-0005-0000-0000-00008B1A0000}"/>
    <cellStyle name="Normal 5 3 5 8 2" xfId="14151" xr:uid="{48C9F51A-58D7-453E-85EC-BFCA57292789}"/>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39C2C4C6-58F7-42AD-AF01-260CBA07D2B9}"/>
    <cellStyle name="Normal 5 3 6 2 2 3" xfId="12494" xr:uid="{4C8F9A4D-81FA-4965-ADD8-30562F589E25}"/>
    <cellStyle name="Normal 5 3 6 2 3" xfId="5240" xr:uid="{00000000-0005-0000-0000-0000901A0000}"/>
    <cellStyle name="Normal 5 3 6 2 3 2" xfId="14566" xr:uid="{0E0A1374-E4E5-4BB0-9D57-0EAC8852D31D}"/>
    <cellStyle name="Normal 5 3 6 2 4" xfId="9394" xr:uid="{040FDD8C-10C9-4583-9A6E-8F76047ECA0C}"/>
    <cellStyle name="Normal 5 3 6 2 5" xfId="10349" xr:uid="{EB72DFBE-5739-40E8-91EE-C7DFFFB6476A}"/>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5B9F68FD-1A31-46C8-95A0-B80F0F05CDA2}"/>
    <cellStyle name="Normal 5 3 6 3 2 3" xfId="12907" xr:uid="{636506B1-05DD-4D8E-9EE0-B5A141E90F08}"/>
    <cellStyle name="Normal 5 3 6 3 3" xfId="5653" xr:uid="{00000000-0005-0000-0000-0000941A0000}"/>
    <cellStyle name="Normal 5 3 6 3 3 2" xfId="14979" xr:uid="{C9FC0F8A-29CE-4698-B21E-494A19CA476F}"/>
    <cellStyle name="Normal 5 3 6 3 4" xfId="10762" xr:uid="{4BD29CA1-9F33-4638-BE86-D69EA2C79EC8}"/>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FD6EBF6F-1F53-434F-808F-27759879C6A0}"/>
    <cellStyle name="Normal 5 3 6 4 2 3" xfId="13320" xr:uid="{93B703B5-9742-4517-A7CB-FCB56C05E93F}"/>
    <cellStyle name="Normal 5 3 6 4 3" xfId="6066" xr:uid="{00000000-0005-0000-0000-0000981A0000}"/>
    <cellStyle name="Normal 5 3 6 4 3 2" xfId="15392" xr:uid="{A049FA2A-3A96-4AEA-98FF-30D23C12BC09}"/>
    <cellStyle name="Normal 5 3 6 4 4" xfId="11175" xr:uid="{9F00BFF2-01FF-4AA7-9BE3-D7F90880E7DD}"/>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0E9CA39C-5266-4E13-AE97-62774A9D04E1}"/>
    <cellStyle name="Normal 5 3 6 5 2 3" xfId="13733" xr:uid="{85FE2467-CB18-4345-BD57-0FCE0CB5ACEC}"/>
    <cellStyle name="Normal 5 3 6 5 3" xfId="6479" xr:uid="{00000000-0005-0000-0000-00009C1A0000}"/>
    <cellStyle name="Normal 5 3 6 5 3 2" xfId="15805" xr:uid="{A267F956-AD27-481B-A8AB-53997D000C5B}"/>
    <cellStyle name="Normal 5 3 6 5 4" xfId="11588" xr:uid="{C500E203-8195-48D3-B8EC-FC1B1591DC50}"/>
    <cellStyle name="Normal 5 3 6 6" xfId="2609" xr:uid="{00000000-0005-0000-0000-00009D1A0000}"/>
    <cellStyle name="Normal 5 3 6 6 2" xfId="6892" xr:uid="{00000000-0005-0000-0000-00009E1A0000}"/>
    <cellStyle name="Normal 5 3 6 6 2 2" xfId="16218" xr:uid="{3B82FE5A-239F-467E-8B5C-0E934ACBB466}"/>
    <cellStyle name="Normal 5 3 6 6 3" xfId="12001" xr:uid="{8EA7C2DF-6A63-4130-AA8E-54A0B914BC81}"/>
    <cellStyle name="Normal 5 3 6 7" xfId="4827" xr:uid="{00000000-0005-0000-0000-00009F1A0000}"/>
    <cellStyle name="Normal 5 3 6 7 2" xfId="14153" xr:uid="{4F6D03DA-A1B4-49CA-A722-4CBF72254517}"/>
    <cellStyle name="Normal 5 3 6 8" xfId="8969" xr:uid="{FA7ABEAF-BFEA-4D3E-A53B-E23F3117BFD8}"/>
    <cellStyle name="Normal 5 3 6 9" xfId="9936" xr:uid="{8CB2C5A4-9D89-4DB9-A0ED-2B97D34A281F}"/>
    <cellStyle name="Normal 5 3 7" xfId="913" xr:uid="{00000000-0005-0000-0000-0000A01A0000}"/>
    <cellStyle name="Normal 5 3 7 2" xfId="3148" xr:uid="{00000000-0005-0000-0000-0000A11A0000}"/>
    <cellStyle name="Normal 5 3 7 2 2" xfId="7370" xr:uid="{00000000-0005-0000-0000-0000A21A0000}"/>
    <cellStyle name="Normal 5 3 7 2 2 2" xfId="16696" xr:uid="{FF43BA2F-BA2E-436F-A165-7E36378BAFFF}"/>
    <cellStyle name="Normal 5 3 7 2 3" xfId="12479" xr:uid="{B714AD66-79A2-4549-B4A6-EEF2010526FA}"/>
    <cellStyle name="Normal 5 3 7 3" xfId="5225" xr:uid="{00000000-0005-0000-0000-0000A31A0000}"/>
    <cellStyle name="Normal 5 3 7 3 2" xfId="14551" xr:uid="{D5956A63-306D-48D1-B757-B414181431BB}"/>
    <cellStyle name="Normal 5 3 7 4" xfId="9172" xr:uid="{5609ABAF-B913-41DD-9CCE-B28C6A880815}"/>
    <cellStyle name="Normal 5 3 7 5" xfId="10334" xr:uid="{ADDD28F0-2697-4829-9D9E-4AAEB939ED8F}"/>
    <cellStyle name="Normal 5 3 8" xfId="1331" xr:uid="{00000000-0005-0000-0000-0000A41A0000}"/>
    <cellStyle name="Normal 5 3 8 2" xfId="3561" xr:uid="{00000000-0005-0000-0000-0000A51A0000}"/>
    <cellStyle name="Normal 5 3 8 2 2" xfId="7783" xr:uid="{00000000-0005-0000-0000-0000A61A0000}"/>
    <cellStyle name="Normal 5 3 8 2 2 2" xfId="17109" xr:uid="{37799FBA-78FE-4972-9245-3C91E9A66AAA}"/>
    <cellStyle name="Normal 5 3 8 2 3" xfId="12892" xr:uid="{C0AF312C-B482-4C2D-8BEB-7CDB35BEBF4B}"/>
    <cellStyle name="Normal 5 3 8 3" xfId="5638" xr:uid="{00000000-0005-0000-0000-0000A71A0000}"/>
    <cellStyle name="Normal 5 3 8 3 2" xfId="14964" xr:uid="{A868B2A5-E6CD-4128-8A64-4C3036130918}"/>
    <cellStyle name="Normal 5 3 8 4" xfId="10747" xr:uid="{F40DC0C6-569C-4485-A5AB-4708F2CF3C48}"/>
    <cellStyle name="Normal 5 3 9" xfId="1744" xr:uid="{00000000-0005-0000-0000-0000A81A0000}"/>
    <cellStyle name="Normal 5 3 9 2" xfId="3974" xr:uid="{00000000-0005-0000-0000-0000A91A0000}"/>
    <cellStyle name="Normal 5 3 9 2 2" xfId="8196" xr:uid="{00000000-0005-0000-0000-0000AA1A0000}"/>
    <cellStyle name="Normal 5 3 9 2 2 2" xfId="17522" xr:uid="{77AF183E-89D4-4175-8218-D7B5DE0B7571}"/>
    <cellStyle name="Normal 5 3 9 2 3" xfId="13305" xr:uid="{2B235B8B-C171-4F7B-995F-9BC712A30871}"/>
    <cellStyle name="Normal 5 3 9 3" xfId="6051" xr:uid="{00000000-0005-0000-0000-0000AB1A0000}"/>
    <cellStyle name="Normal 5 3 9 3 2" xfId="15377" xr:uid="{838B50E8-D904-496C-B0D3-7192C3A78480}"/>
    <cellStyle name="Normal 5 3 9 4" xfId="11160" xr:uid="{9DF53D10-C69D-48EC-81B5-4B53F80BA677}"/>
    <cellStyle name="Normal 5 4" xfId="456" xr:uid="{00000000-0005-0000-0000-0000AC1A0000}"/>
    <cellStyle name="Normal 5 4 10" xfId="4828" xr:uid="{00000000-0005-0000-0000-0000AD1A0000}"/>
    <cellStyle name="Normal 5 4 10 2" xfId="14154" xr:uid="{9BDA949E-F1C5-43F5-A1B3-943522402141}"/>
    <cellStyle name="Normal 5 4 11" xfId="8773" xr:uid="{50472F80-32FD-428C-B078-8DE338D6CA16}"/>
    <cellStyle name="Normal 5 4 12" xfId="9937" xr:uid="{42FD7E6F-DE66-494C-898F-1335A97B48E7}"/>
    <cellStyle name="Normal 5 4 2" xfId="457" xr:uid="{00000000-0005-0000-0000-0000AE1A0000}"/>
    <cellStyle name="Normal 5 4 2 10" xfId="8833" xr:uid="{6EA55230-8E5B-4EF6-B83C-8DF4202F8C31}"/>
    <cellStyle name="Normal 5 4 2 11" xfId="9938" xr:uid="{374D78C5-94C7-4F22-A8DC-F95032DB43D6}"/>
    <cellStyle name="Normal 5 4 2 2" xfId="458" xr:uid="{00000000-0005-0000-0000-0000AF1A0000}"/>
    <cellStyle name="Normal 5 4 2 2 10" xfId="9939" xr:uid="{7ADE016E-AD14-42B6-BB58-07B1A9C62887}"/>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86FCC5BD-027D-4F6B-96F7-6761C3E147B9}"/>
    <cellStyle name="Normal 5 4 2 2 2 2 2 3" xfId="12498" xr:uid="{5F2CB060-BD8B-4171-A35A-898E8903CEEC}"/>
    <cellStyle name="Normal 5 4 2 2 2 2 3" xfId="5244" xr:uid="{00000000-0005-0000-0000-0000B41A0000}"/>
    <cellStyle name="Normal 5 4 2 2 2 2 3 2" xfId="14570" xr:uid="{86F7D42C-F388-4686-BDD1-C63A20D19BF1}"/>
    <cellStyle name="Normal 5 4 2 2 2 2 4" xfId="9568" xr:uid="{C9922021-D284-4633-BD4E-F2DB1197482A}"/>
    <cellStyle name="Normal 5 4 2 2 2 2 5" xfId="10353" xr:uid="{3D159166-146D-4ADE-B911-4A055D7111C7}"/>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3E203A62-C518-457F-ADE0-98608020BC2A}"/>
    <cellStyle name="Normal 5 4 2 2 2 3 2 3" xfId="12911" xr:uid="{7854347E-9F27-4659-9FB9-98AC93FBC2A1}"/>
    <cellStyle name="Normal 5 4 2 2 2 3 3" xfId="5657" xr:uid="{00000000-0005-0000-0000-0000B81A0000}"/>
    <cellStyle name="Normal 5 4 2 2 2 3 3 2" xfId="14983" xr:uid="{991A6B77-717D-4E03-9252-83431FD493EF}"/>
    <cellStyle name="Normal 5 4 2 2 2 3 4" xfId="10766" xr:uid="{1B9E9AA3-4B23-43E0-89CD-8CFCBDFCBDBA}"/>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972A84A8-A628-4874-895C-43D18020C98E}"/>
    <cellStyle name="Normal 5 4 2 2 2 4 2 3" xfId="13324" xr:uid="{780F6B7C-5362-4A29-9E32-FB6DC1D732C5}"/>
    <cellStyle name="Normal 5 4 2 2 2 4 3" xfId="6070" xr:uid="{00000000-0005-0000-0000-0000BC1A0000}"/>
    <cellStyle name="Normal 5 4 2 2 2 4 3 2" xfId="15396" xr:uid="{CF5C1A48-FD78-4C9B-BA71-1042476393E1}"/>
    <cellStyle name="Normal 5 4 2 2 2 4 4" xfId="11179" xr:uid="{67F53FCA-64ED-479C-8471-C29EF50EDCF5}"/>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CD7DC997-AE76-442E-AAA6-968C7EFF69B1}"/>
    <cellStyle name="Normal 5 4 2 2 2 5 2 3" xfId="13737" xr:uid="{6E9C6ACF-9890-4860-88FA-365F7F055916}"/>
    <cellStyle name="Normal 5 4 2 2 2 5 3" xfId="6483" xr:uid="{00000000-0005-0000-0000-0000C01A0000}"/>
    <cellStyle name="Normal 5 4 2 2 2 5 3 2" xfId="15809" xr:uid="{CD2C0D22-B539-4EF9-8642-7A1F12529C05}"/>
    <cellStyle name="Normal 5 4 2 2 2 5 4" xfId="11592" xr:uid="{625BF30C-DDBC-4953-B03E-EA72529862BE}"/>
    <cellStyle name="Normal 5 4 2 2 2 6" xfId="2613" xr:uid="{00000000-0005-0000-0000-0000C11A0000}"/>
    <cellStyle name="Normal 5 4 2 2 2 6 2" xfId="6896" xr:uid="{00000000-0005-0000-0000-0000C21A0000}"/>
    <cellStyle name="Normal 5 4 2 2 2 6 2 2" xfId="16222" xr:uid="{5149BA20-AAD8-4EA1-A49A-166A760C6A0B}"/>
    <cellStyle name="Normal 5 4 2 2 2 6 3" xfId="12005" xr:uid="{184745E9-8591-42B1-8A7A-E72CB8E1B949}"/>
    <cellStyle name="Normal 5 4 2 2 2 7" xfId="4831" xr:uid="{00000000-0005-0000-0000-0000C31A0000}"/>
    <cellStyle name="Normal 5 4 2 2 2 7 2" xfId="14157" xr:uid="{A54155CA-A60E-4AE1-AFCB-3A26DD0DE962}"/>
    <cellStyle name="Normal 5 4 2 2 2 8" xfId="9143" xr:uid="{C8F15FA9-FDFE-4358-95A8-17B14299B14C}"/>
    <cellStyle name="Normal 5 4 2 2 2 9" xfId="9940" xr:uid="{7829D623-025C-4903-80E7-D506F0F792F4}"/>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445971A4-19E1-422D-B944-AFC5F623F542}"/>
    <cellStyle name="Normal 5 4 2 2 3 2 3" xfId="12497" xr:uid="{6CA2873C-FA90-4423-AAAB-6903B55E58C0}"/>
    <cellStyle name="Normal 5 4 2 2 3 3" xfId="5243" xr:uid="{00000000-0005-0000-0000-0000C71A0000}"/>
    <cellStyle name="Normal 5 4 2 2 3 3 2" xfId="14569" xr:uid="{38711F38-1F10-4381-B8A0-2E11B9068A36}"/>
    <cellStyle name="Normal 5 4 2 2 3 4" xfId="9361" xr:uid="{421F0FC8-8E8F-498F-BD31-B00CB58D5B43}"/>
    <cellStyle name="Normal 5 4 2 2 3 5" xfId="10352" xr:uid="{271CFA2A-CF1B-49AD-85F6-FDD86075319B}"/>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3835AF29-5644-4668-8FDC-BC1B4F37AE89}"/>
    <cellStyle name="Normal 5 4 2 2 4 2 3" xfId="12910" xr:uid="{A986C469-61BB-436D-B04F-F73EDEFEA592}"/>
    <cellStyle name="Normal 5 4 2 2 4 3" xfId="5656" xr:uid="{00000000-0005-0000-0000-0000CB1A0000}"/>
    <cellStyle name="Normal 5 4 2 2 4 3 2" xfId="14982" xr:uid="{58E3A642-AFB8-4CD6-B058-045603F390CD}"/>
    <cellStyle name="Normal 5 4 2 2 4 4" xfId="10765" xr:uid="{9C476CB2-5EB1-4A90-A234-FAC47E4C7757}"/>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1E2989A8-82E8-4FFC-8E26-D495BDCADFEA}"/>
    <cellStyle name="Normal 5 4 2 2 5 2 3" xfId="13323" xr:uid="{232B5EA8-1612-44FB-A3ED-9CD974387F8A}"/>
    <cellStyle name="Normal 5 4 2 2 5 3" xfId="6069" xr:uid="{00000000-0005-0000-0000-0000CF1A0000}"/>
    <cellStyle name="Normal 5 4 2 2 5 3 2" xfId="15395" xr:uid="{6687BE3C-4FA1-4DC2-8506-A20BAF33E4E6}"/>
    <cellStyle name="Normal 5 4 2 2 5 4" xfId="11178" xr:uid="{49CFC881-38C3-4575-B833-08F6C50FBE24}"/>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43ABF212-5904-4708-84E9-A8D8951F5D32}"/>
    <cellStyle name="Normal 5 4 2 2 6 2 3" xfId="13736" xr:uid="{FA82FC8B-8928-48F6-A2D0-A238C3EBD497}"/>
    <cellStyle name="Normal 5 4 2 2 6 3" xfId="6482" xr:uid="{00000000-0005-0000-0000-0000D31A0000}"/>
    <cellStyle name="Normal 5 4 2 2 6 3 2" xfId="15808" xr:uid="{12A75DC0-C4A7-49FD-B76D-ACD3FC774B5D}"/>
    <cellStyle name="Normal 5 4 2 2 6 4" xfId="11591" xr:uid="{BD6DFB6B-441D-4C04-9EAF-B9C4E11CDCC9}"/>
    <cellStyle name="Normal 5 4 2 2 7" xfId="2612" xr:uid="{00000000-0005-0000-0000-0000D41A0000}"/>
    <cellStyle name="Normal 5 4 2 2 7 2" xfId="6895" xr:uid="{00000000-0005-0000-0000-0000D51A0000}"/>
    <cellStyle name="Normal 5 4 2 2 7 2 2" xfId="16221" xr:uid="{7176D26B-4B67-4F26-91F3-8995C910C52A}"/>
    <cellStyle name="Normal 5 4 2 2 7 3" xfId="12004" xr:uid="{9EBD3815-38E2-4C8B-829A-34F0CAF2711D}"/>
    <cellStyle name="Normal 5 4 2 2 8" xfId="4830" xr:uid="{00000000-0005-0000-0000-0000D61A0000}"/>
    <cellStyle name="Normal 5 4 2 2 8 2" xfId="14156" xr:uid="{508D508D-4D86-42DC-82B5-F9C2B69F7D26}"/>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A85E13BC-7D2E-4278-89CB-4CAEF611034D}"/>
    <cellStyle name="Normal 5 4 2 3 2 2 3" xfId="12499" xr:uid="{29F3B9AB-52CB-4C7A-8CA6-F615ED3E25C7}"/>
    <cellStyle name="Normal 5 4 2 3 2 3" xfId="5245" xr:uid="{00000000-0005-0000-0000-0000DB1A0000}"/>
    <cellStyle name="Normal 5 4 2 3 2 3 2" xfId="14571" xr:uid="{5F0994EA-4ADA-4DC5-AE73-D60F67C3E32E}"/>
    <cellStyle name="Normal 5 4 2 3 2 4" xfId="9465" xr:uid="{B8459C73-266B-467B-A163-FFDFF015A460}"/>
    <cellStyle name="Normal 5 4 2 3 2 5" xfId="10354" xr:uid="{3BF12ADA-E07E-4A86-AC5E-7F5423DFAA9B}"/>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00B33F66-A9D1-473A-BD1D-C76A56905064}"/>
    <cellStyle name="Normal 5 4 2 3 3 2 3" xfId="12912" xr:uid="{FB6C75DB-6777-4CE0-AF8A-F7468A2C9650}"/>
    <cellStyle name="Normal 5 4 2 3 3 3" xfId="5658" xr:uid="{00000000-0005-0000-0000-0000DF1A0000}"/>
    <cellStyle name="Normal 5 4 2 3 3 3 2" xfId="14984" xr:uid="{9857C066-CDF6-4976-ACB3-25C2307C0A7C}"/>
    <cellStyle name="Normal 5 4 2 3 3 4" xfId="10767" xr:uid="{FA7961F0-8136-40D6-AFAF-7784C68FA34A}"/>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B86B8004-975F-4C45-B634-71D765631664}"/>
    <cellStyle name="Normal 5 4 2 3 4 2 3" xfId="13325" xr:uid="{5883CD9D-345E-41C4-8EA0-61BB8BF210D3}"/>
    <cellStyle name="Normal 5 4 2 3 4 3" xfId="6071" xr:uid="{00000000-0005-0000-0000-0000E31A0000}"/>
    <cellStyle name="Normal 5 4 2 3 4 3 2" xfId="15397" xr:uid="{2B6C1F3B-D4A4-422B-B54D-06CFC353A3B6}"/>
    <cellStyle name="Normal 5 4 2 3 4 4" xfId="11180" xr:uid="{D10C5F27-981F-431A-94EE-9CA1A2A85D6C}"/>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485DB29D-04BC-46EF-B72A-4151AA4F4A1D}"/>
    <cellStyle name="Normal 5 4 2 3 5 2 3" xfId="13738" xr:uid="{4E38D709-541D-4F5D-9B1E-C6FF77F204CC}"/>
    <cellStyle name="Normal 5 4 2 3 5 3" xfId="6484" xr:uid="{00000000-0005-0000-0000-0000E71A0000}"/>
    <cellStyle name="Normal 5 4 2 3 5 3 2" xfId="15810" xr:uid="{1E6F781D-838E-4984-B553-D2B0260A4EF0}"/>
    <cellStyle name="Normal 5 4 2 3 5 4" xfId="11593" xr:uid="{9BF9D7D7-BE07-4419-B6B9-66073D1EC7A1}"/>
    <cellStyle name="Normal 5 4 2 3 6" xfId="2614" xr:uid="{00000000-0005-0000-0000-0000E81A0000}"/>
    <cellStyle name="Normal 5 4 2 3 6 2" xfId="6897" xr:uid="{00000000-0005-0000-0000-0000E91A0000}"/>
    <cellStyle name="Normal 5 4 2 3 6 2 2" xfId="16223" xr:uid="{8D5A5421-FA80-48ED-A78C-40B610442924}"/>
    <cellStyle name="Normal 5 4 2 3 6 3" xfId="12006" xr:uid="{1D6DDAEC-FE0D-40CB-B6B1-0BC98AD626FF}"/>
    <cellStyle name="Normal 5 4 2 3 7" xfId="4832" xr:uid="{00000000-0005-0000-0000-0000EA1A0000}"/>
    <cellStyle name="Normal 5 4 2 3 7 2" xfId="14158" xr:uid="{0E9B54BC-FDB3-4702-A88F-E071AA689F91}"/>
    <cellStyle name="Normal 5 4 2 3 8" xfId="9040" xr:uid="{D68CAB17-BB41-4D9B-AA76-76FE511392DC}"/>
    <cellStyle name="Normal 5 4 2 3 9" xfId="9941" xr:uid="{781E2795-9287-4890-935B-A65932EE3921}"/>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3FDDCABC-7D85-4982-AE8D-A9F4223E6124}"/>
    <cellStyle name="Normal 5 4 2 4 2 3" xfId="12496" xr:uid="{0CD5E3B7-1CCB-4825-BC04-05E27F11895D}"/>
    <cellStyle name="Normal 5 4 2 4 3" xfId="5242" xr:uid="{00000000-0005-0000-0000-0000EE1A0000}"/>
    <cellStyle name="Normal 5 4 2 4 3 2" xfId="14568" xr:uid="{3C06AA16-89AB-4381-9E66-2DB4EC876DD1}"/>
    <cellStyle name="Normal 5 4 2 4 4" xfId="9258" xr:uid="{971C48A9-8200-405B-A9BE-B3AFD2CDDA76}"/>
    <cellStyle name="Normal 5 4 2 4 5" xfId="10351" xr:uid="{613E4CB5-3D15-496A-AFD0-CEA14EDF82C0}"/>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72BA399A-7118-4403-84C2-0A6E76F7FF2F}"/>
    <cellStyle name="Normal 5 4 2 5 2 3" xfId="12909" xr:uid="{7F538A10-3C3F-46DB-A3B1-EB12D70169E2}"/>
    <cellStyle name="Normal 5 4 2 5 3" xfId="5655" xr:uid="{00000000-0005-0000-0000-0000F21A0000}"/>
    <cellStyle name="Normal 5 4 2 5 3 2" xfId="14981" xr:uid="{FF421393-D548-44B3-AE7C-CEA6244DEC0C}"/>
    <cellStyle name="Normal 5 4 2 5 4" xfId="10764" xr:uid="{D11BB2FB-DFC7-4EAC-A4DA-95E796D87DC8}"/>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88377351-C727-4F54-BEF3-C4AD0A6915E2}"/>
    <cellStyle name="Normal 5 4 2 6 2 3" xfId="13322" xr:uid="{635F4CF8-C5CB-459C-B9B4-81386790C750}"/>
    <cellStyle name="Normal 5 4 2 6 3" xfId="6068" xr:uid="{00000000-0005-0000-0000-0000F61A0000}"/>
    <cellStyle name="Normal 5 4 2 6 3 2" xfId="15394" xr:uid="{0D0F29EF-5BA5-424B-BFD2-9D89314A7ABC}"/>
    <cellStyle name="Normal 5 4 2 6 4" xfId="11177" xr:uid="{3604E50B-FDC5-44B8-B020-ED1984B28DFA}"/>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C8E72DF6-E14E-4119-BFAD-389872AEE827}"/>
    <cellStyle name="Normal 5 4 2 7 2 3" xfId="13735" xr:uid="{A25710BA-2FB7-459A-85BC-63291A4437EE}"/>
    <cellStyle name="Normal 5 4 2 7 3" xfId="6481" xr:uid="{00000000-0005-0000-0000-0000FA1A0000}"/>
    <cellStyle name="Normal 5 4 2 7 3 2" xfId="15807" xr:uid="{FF3E4DD4-0CF5-4FB2-A2EB-FE05A1E39B53}"/>
    <cellStyle name="Normal 5 4 2 7 4" xfId="11590" xr:uid="{358717A4-303A-4AD8-88CD-83B475EE14E2}"/>
    <cellStyle name="Normal 5 4 2 8" xfId="2611" xr:uid="{00000000-0005-0000-0000-0000FB1A0000}"/>
    <cellStyle name="Normal 5 4 2 8 2" xfId="6894" xr:uid="{00000000-0005-0000-0000-0000FC1A0000}"/>
    <cellStyle name="Normal 5 4 2 8 2 2" xfId="16220" xr:uid="{15518E39-5E23-457B-993E-AC63D58BA63A}"/>
    <cellStyle name="Normal 5 4 2 8 3" xfId="12003" xr:uid="{1C6640FB-2582-45AA-8B96-885B92D66F07}"/>
    <cellStyle name="Normal 5 4 2 9" xfId="4829" xr:uid="{00000000-0005-0000-0000-0000FD1A0000}"/>
    <cellStyle name="Normal 5 4 2 9 2" xfId="14155" xr:uid="{986A1AEA-856A-4525-8FDB-EDCC8EB9F4EE}"/>
    <cellStyle name="Normal 5 4 3" xfId="461" xr:uid="{00000000-0005-0000-0000-0000FE1A0000}"/>
    <cellStyle name="Normal 5 4 3 10" xfId="9942" xr:uid="{0BC723F1-19A6-4532-8525-B8B8C3A25E53}"/>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8C8AEC58-A53A-4920-9633-3A9BFFA63587}"/>
    <cellStyle name="Normal 5 4 3 2 2 2 3" xfId="12501" xr:uid="{6FF686C0-6C20-42FC-A313-A6A06BBB61A2}"/>
    <cellStyle name="Normal 5 4 3 2 2 3" xfId="5247" xr:uid="{00000000-0005-0000-0000-0000031B0000}"/>
    <cellStyle name="Normal 5 4 3 2 2 3 2" xfId="14573" xr:uid="{20D21769-8FCA-4C23-8837-11DBD276E77D}"/>
    <cellStyle name="Normal 5 4 3 2 2 4" xfId="9508" xr:uid="{1F9B5A8F-2A45-43C5-9422-E8BC84424A55}"/>
    <cellStyle name="Normal 5 4 3 2 2 5" xfId="10356" xr:uid="{5FDD09C2-431D-4CD1-BEF0-77BED9227869}"/>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CC3A5472-A830-44CC-AF61-036D8B2D4339}"/>
    <cellStyle name="Normal 5 4 3 2 3 2 3" xfId="12914" xr:uid="{1506BD02-BCA5-477C-977C-93DD99AEF9EB}"/>
    <cellStyle name="Normal 5 4 3 2 3 3" xfId="5660" xr:uid="{00000000-0005-0000-0000-0000071B0000}"/>
    <cellStyle name="Normal 5 4 3 2 3 3 2" xfId="14986" xr:uid="{A689A041-1058-43B7-A168-0795BCC5BE7F}"/>
    <cellStyle name="Normal 5 4 3 2 3 4" xfId="10769" xr:uid="{60C8FAAA-3EE0-4A91-A980-213930A80CC1}"/>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44C55730-3310-4CF7-95A9-D5030FD89B2F}"/>
    <cellStyle name="Normal 5 4 3 2 4 2 3" xfId="13327" xr:uid="{329F8336-2703-4BD5-AF4E-2E25D8480586}"/>
    <cellStyle name="Normal 5 4 3 2 4 3" xfId="6073" xr:uid="{00000000-0005-0000-0000-00000B1B0000}"/>
    <cellStyle name="Normal 5 4 3 2 4 3 2" xfId="15399" xr:uid="{D435E39E-6DB6-4B92-AA94-F6604C0BD49D}"/>
    <cellStyle name="Normal 5 4 3 2 4 4" xfId="11182" xr:uid="{20DA9873-86A5-4697-830A-53E0A5079A2D}"/>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F95C2DC9-9A26-4BC1-846C-6AFA1809D4A5}"/>
    <cellStyle name="Normal 5 4 3 2 5 2 3" xfId="13740" xr:uid="{FD6A49AC-39D9-483F-8E27-C21DBC2A4C92}"/>
    <cellStyle name="Normal 5 4 3 2 5 3" xfId="6486" xr:uid="{00000000-0005-0000-0000-00000F1B0000}"/>
    <cellStyle name="Normal 5 4 3 2 5 3 2" xfId="15812" xr:uid="{24635220-F2C1-4A40-873A-A5F69B5E17D6}"/>
    <cellStyle name="Normal 5 4 3 2 5 4" xfId="11595" xr:uid="{2B02B467-44C8-4610-8182-9772ED809A9C}"/>
    <cellStyle name="Normal 5 4 3 2 6" xfId="2616" xr:uid="{00000000-0005-0000-0000-0000101B0000}"/>
    <cellStyle name="Normal 5 4 3 2 6 2" xfId="6899" xr:uid="{00000000-0005-0000-0000-0000111B0000}"/>
    <cellStyle name="Normal 5 4 3 2 6 2 2" xfId="16225" xr:uid="{3EAA73AF-C410-402F-8C11-20828CB3B33E}"/>
    <cellStyle name="Normal 5 4 3 2 6 3" xfId="12008" xr:uid="{66383863-CDE7-457D-B8A4-B0DB3E5AD95E}"/>
    <cellStyle name="Normal 5 4 3 2 7" xfId="4834" xr:uid="{00000000-0005-0000-0000-0000121B0000}"/>
    <cellStyle name="Normal 5 4 3 2 7 2" xfId="14160" xr:uid="{8AE8B132-2A61-4C68-9C91-666D1AC453E5}"/>
    <cellStyle name="Normal 5 4 3 2 8" xfId="9083" xr:uid="{206384C8-6AD8-4D28-8F99-3033A80D68FC}"/>
    <cellStyle name="Normal 5 4 3 2 9" xfId="9943" xr:uid="{3E6F9A1F-A111-4B46-BDE9-6F87322E5504}"/>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EA1A9311-E0EE-42EB-87D2-B57C767B277A}"/>
    <cellStyle name="Normal 5 4 3 3 2 3" xfId="12500" xr:uid="{0798D887-D026-4B6B-BAAB-C7CC4EFB8F21}"/>
    <cellStyle name="Normal 5 4 3 3 3" xfId="5246" xr:uid="{00000000-0005-0000-0000-0000161B0000}"/>
    <cellStyle name="Normal 5 4 3 3 3 2" xfId="14572" xr:uid="{983D175C-DF53-42AF-B815-F2CCE6F2D3D2}"/>
    <cellStyle name="Normal 5 4 3 3 4" xfId="9301" xr:uid="{CB02BBE7-2E3D-4C67-A62E-BA84DE882039}"/>
    <cellStyle name="Normal 5 4 3 3 5" xfId="10355" xr:uid="{8F9C0578-38DD-4BB8-BB4B-24DE57A01A8A}"/>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ABFC51E1-2CD5-4985-8F76-B846650E3535}"/>
    <cellStyle name="Normal 5 4 3 4 2 3" xfId="12913" xr:uid="{5D497BA7-9CED-452B-A44B-C098135A1533}"/>
    <cellStyle name="Normal 5 4 3 4 3" xfId="5659" xr:uid="{00000000-0005-0000-0000-00001A1B0000}"/>
    <cellStyle name="Normal 5 4 3 4 3 2" xfId="14985" xr:uid="{DF064C30-415F-431A-BD83-3A8293F564B1}"/>
    <cellStyle name="Normal 5 4 3 4 4" xfId="10768" xr:uid="{DE678233-D9F4-4433-A73E-7A1971E0913B}"/>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33943F45-2B36-42E3-84E9-35B8BBF507C8}"/>
    <cellStyle name="Normal 5 4 3 5 2 3" xfId="13326" xr:uid="{42808103-821C-4FB3-AC64-863C351C6AB5}"/>
    <cellStyle name="Normal 5 4 3 5 3" xfId="6072" xr:uid="{00000000-0005-0000-0000-00001E1B0000}"/>
    <cellStyle name="Normal 5 4 3 5 3 2" xfId="15398" xr:uid="{990E7C7D-03E9-40FE-A559-DB3963B057B8}"/>
    <cellStyle name="Normal 5 4 3 5 4" xfId="11181" xr:uid="{8BC76928-A60C-4B25-9E46-38A6E8E02580}"/>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6FF5A0BD-AA8C-4BFC-A3C4-BF1EA4587056}"/>
    <cellStyle name="Normal 5 4 3 6 2 3" xfId="13739" xr:uid="{8E055496-0D32-4222-BF8C-0993BED10F43}"/>
    <cellStyle name="Normal 5 4 3 6 3" xfId="6485" xr:uid="{00000000-0005-0000-0000-0000221B0000}"/>
    <cellStyle name="Normal 5 4 3 6 3 2" xfId="15811" xr:uid="{8F8E1445-F5C2-4074-992A-288965734B90}"/>
    <cellStyle name="Normal 5 4 3 6 4" xfId="11594" xr:uid="{5F92D19C-E80C-45D7-8925-E31F987265C5}"/>
    <cellStyle name="Normal 5 4 3 7" xfId="2615" xr:uid="{00000000-0005-0000-0000-0000231B0000}"/>
    <cellStyle name="Normal 5 4 3 7 2" xfId="6898" xr:uid="{00000000-0005-0000-0000-0000241B0000}"/>
    <cellStyle name="Normal 5 4 3 7 2 2" xfId="16224" xr:uid="{14BE5131-A293-4ADE-971D-1D22B89F9C59}"/>
    <cellStyle name="Normal 5 4 3 7 3" xfId="12007" xr:uid="{044CD877-6102-476E-A7AB-357BF399CBB2}"/>
    <cellStyle name="Normal 5 4 3 8" xfId="4833" xr:uid="{00000000-0005-0000-0000-0000251B0000}"/>
    <cellStyle name="Normal 5 4 3 8 2" xfId="14159" xr:uid="{2FF05697-EB48-41DB-B11E-74754B21D36D}"/>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4AB0FFD1-1BED-4B6A-A8A7-6DCD0B8A4219}"/>
    <cellStyle name="Normal 5 4 4 2 2 3" xfId="12502" xr:uid="{36767516-60D1-4E89-B318-B7B37761DD2F}"/>
    <cellStyle name="Normal 5 4 4 2 3" xfId="5248" xr:uid="{00000000-0005-0000-0000-00002A1B0000}"/>
    <cellStyle name="Normal 5 4 4 2 3 2" xfId="14574" xr:uid="{6AB17929-EC64-4226-9A26-4A1F98EFF27A}"/>
    <cellStyle name="Normal 5 4 4 2 4" xfId="9405" xr:uid="{F05DE0DC-A0AA-4CEB-9ABC-0D70F781B819}"/>
    <cellStyle name="Normal 5 4 4 2 5" xfId="10357" xr:uid="{CF337E7D-4335-4881-AE54-799A186482EA}"/>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E5241D9E-B94A-4824-8F0B-17002C03D749}"/>
    <cellStyle name="Normal 5 4 4 3 2 3" xfId="12915" xr:uid="{9A1CA857-2F91-4397-ADBD-0D41BAF96843}"/>
    <cellStyle name="Normal 5 4 4 3 3" xfId="5661" xr:uid="{00000000-0005-0000-0000-00002E1B0000}"/>
    <cellStyle name="Normal 5 4 4 3 3 2" xfId="14987" xr:uid="{A2338576-BE1F-4C2D-9F93-A05321D5DD3E}"/>
    <cellStyle name="Normal 5 4 4 3 4" xfId="10770" xr:uid="{C8A63AC0-8E93-4C39-A90A-845D278E4084}"/>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B1DB23FF-5646-4395-8521-7F5147C5956A}"/>
    <cellStyle name="Normal 5 4 4 4 2 3" xfId="13328" xr:uid="{81ADE7A3-D95B-4D8F-A1A3-199AA5E9B8A7}"/>
    <cellStyle name="Normal 5 4 4 4 3" xfId="6074" xr:uid="{00000000-0005-0000-0000-0000321B0000}"/>
    <cellStyle name="Normal 5 4 4 4 3 2" xfId="15400" xr:uid="{CA627331-9665-469A-AB0D-B40A3FE32D84}"/>
    <cellStyle name="Normal 5 4 4 4 4" xfId="11183" xr:uid="{62208378-4CC0-45B5-9104-A4FFFBF34ECD}"/>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24853D29-587D-4949-92B4-903E883D0D5C}"/>
    <cellStyle name="Normal 5 4 4 5 2 3" xfId="13741" xr:uid="{F2C9C718-E80D-46D0-9610-F507EA5B1EFE}"/>
    <cellStyle name="Normal 5 4 4 5 3" xfId="6487" xr:uid="{00000000-0005-0000-0000-0000361B0000}"/>
    <cellStyle name="Normal 5 4 4 5 3 2" xfId="15813" xr:uid="{6DB0D3E5-7F2C-49BA-B2F0-34FD34DD60D9}"/>
    <cellStyle name="Normal 5 4 4 5 4" xfId="11596" xr:uid="{685ECE1B-6C27-45B7-A67D-B23A973B0426}"/>
    <cellStyle name="Normal 5 4 4 6" xfId="2617" xr:uid="{00000000-0005-0000-0000-0000371B0000}"/>
    <cellStyle name="Normal 5 4 4 6 2" xfId="6900" xr:uid="{00000000-0005-0000-0000-0000381B0000}"/>
    <cellStyle name="Normal 5 4 4 6 2 2" xfId="16226" xr:uid="{C755195A-76A2-42CF-B04B-C0791C6F94F2}"/>
    <cellStyle name="Normal 5 4 4 6 3" xfId="12009" xr:uid="{7F58FCF6-E397-4191-A368-3E296266DC34}"/>
    <cellStyle name="Normal 5 4 4 7" xfId="4835" xr:uid="{00000000-0005-0000-0000-0000391B0000}"/>
    <cellStyle name="Normal 5 4 4 7 2" xfId="14161" xr:uid="{B0C5CFCB-4035-4EBD-AE17-D790CD85B5AA}"/>
    <cellStyle name="Normal 5 4 4 8" xfId="8980" xr:uid="{B1DB48A4-94CB-4CC2-8D4B-8FD478363D48}"/>
    <cellStyle name="Normal 5 4 4 9" xfId="9944" xr:uid="{0B666482-231B-4F2F-B115-FA2133FD690B}"/>
    <cellStyle name="Normal 5 4 5" xfId="930" xr:uid="{00000000-0005-0000-0000-00003A1B0000}"/>
    <cellStyle name="Normal 5 4 5 2" xfId="3164" xr:uid="{00000000-0005-0000-0000-00003B1B0000}"/>
    <cellStyle name="Normal 5 4 5 2 2" xfId="7386" xr:uid="{00000000-0005-0000-0000-00003C1B0000}"/>
    <cellStyle name="Normal 5 4 5 2 2 2" xfId="16712" xr:uid="{96C762C0-710E-40B7-AE4B-3C4B233106FC}"/>
    <cellStyle name="Normal 5 4 5 2 3" xfId="12495" xr:uid="{370B117A-48C8-42C9-AB6A-C7BBC1CC95E3}"/>
    <cellStyle name="Normal 5 4 5 3" xfId="5241" xr:uid="{00000000-0005-0000-0000-00003D1B0000}"/>
    <cellStyle name="Normal 5 4 5 3 2" xfId="14567" xr:uid="{495706C1-201E-489B-8D19-32A5A71C9021}"/>
    <cellStyle name="Normal 5 4 5 4" xfId="9197" xr:uid="{44FF0EFB-444B-4C40-B695-8C256ADB5563}"/>
    <cellStyle name="Normal 5 4 5 5" xfId="10350" xr:uid="{1D66C735-D5A8-4DD8-8E23-245820065119}"/>
    <cellStyle name="Normal 5 4 6" xfId="1347" xr:uid="{00000000-0005-0000-0000-00003E1B0000}"/>
    <cellStyle name="Normal 5 4 6 2" xfId="3577" xr:uid="{00000000-0005-0000-0000-00003F1B0000}"/>
    <cellStyle name="Normal 5 4 6 2 2" xfId="7799" xr:uid="{00000000-0005-0000-0000-0000401B0000}"/>
    <cellStyle name="Normal 5 4 6 2 2 2" xfId="17125" xr:uid="{ABF1E963-5458-4DB5-8583-1BC731DF4841}"/>
    <cellStyle name="Normal 5 4 6 2 3" xfId="12908" xr:uid="{23066A2E-08CB-4165-81B0-DE45C9EEDC9A}"/>
    <cellStyle name="Normal 5 4 6 3" xfId="5654" xr:uid="{00000000-0005-0000-0000-0000411B0000}"/>
    <cellStyle name="Normal 5 4 6 3 2" xfId="14980" xr:uid="{79B0428A-3199-4734-BCAE-0441CF08335A}"/>
    <cellStyle name="Normal 5 4 6 4" xfId="10763" xr:uid="{CD3DBF3F-BB3B-4D2F-B48A-F6A75A9F9D8F}"/>
    <cellStyle name="Normal 5 4 7" xfId="1760" xr:uid="{00000000-0005-0000-0000-0000421B0000}"/>
    <cellStyle name="Normal 5 4 7 2" xfId="3990" xr:uid="{00000000-0005-0000-0000-0000431B0000}"/>
    <cellStyle name="Normal 5 4 7 2 2" xfId="8212" xr:uid="{00000000-0005-0000-0000-0000441B0000}"/>
    <cellStyle name="Normal 5 4 7 2 2 2" xfId="17538" xr:uid="{1D35FA56-4DB5-4D3B-93CB-248339588A17}"/>
    <cellStyle name="Normal 5 4 7 2 3" xfId="13321" xr:uid="{33CC4365-C9D1-4A3B-8BA5-922131D95E53}"/>
    <cellStyle name="Normal 5 4 7 3" xfId="6067" xr:uid="{00000000-0005-0000-0000-0000451B0000}"/>
    <cellStyle name="Normal 5 4 7 3 2" xfId="15393" xr:uid="{36849C8E-01D2-4F2E-9A1D-96BD2E8E3B36}"/>
    <cellStyle name="Normal 5 4 7 4" xfId="11176" xr:uid="{5CC4CA73-0E83-472F-84BB-3817A92807F5}"/>
    <cellStyle name="Normal 5 4 8" xfId="2174" xr:uid="{00000000-0005-0000-0000-0000461B0000}"/>
    <cellStyle name="Normal 5 4 8 2" xfId="4403" xr:uid="{00000000-0005-0000-0000-0000471B0000}"/>
    <cellStyle name="Normal 5 4 8 2 2" xfId="8625" xr:uid="{00000000-0005-0000-0000-0000481B0000}"/>
    <cellStyle name="Normal 5 4 8 2 2 2" xfId="17951" xr:uid="{E257DEE5-4E20-4B6F-954F-ABD8EE5D105C}"/>
    <cellStyle name="Normal 5 4 8 2 3" xfId="13734" xr:uid="{0D577181-1D5C-47F9-B6D5-739DDA27990E}"/>
    <cellStyle name="Normal 5 4 8 3" xfId="6480" xr:uid="{00000000-0005-0000-0000-0000491B0000}"/>
    <cellStyle name="Normal 5 4 8 3 2" xfId="15806" xr:uid="{A49ED0C6-8A2D-40F0-ABEF-09CAE706B12F}"/>
    <cellStyle name="Normal 5 4 8 4" xfId="11589" xr:uid="{B2160E14-745D-4BFC-828B-BAB6E2521BB1}"/>
    <cellStyle name="Normal 5 4 9" xfId="2610" xr:uid="{00000000-0005-0000-0000-00004A1B0000}"/>
    <cellStyle name="Normal 5 4 9 2" xfId="6893" xr:uid="{00000000-0005-0000-0000-00004B1B0000}"/>
    <cellStyle name="Normal 5 4 9 2 2" xfId="16219" xr:uid="{AFFEBFB6-ECEE-47A9-ABFB-4D719981D7D7}"/>
    <cellStyle name="Normal 5 4 9 3" xfId="12002" xr:uid="{18D8A14A-7EC2-4FEC-BAA3-4329D43259D1}"/>
    <cellStyle name="Normal 5 5" xfId="464" xr:uid="{00000000-0005-0000-0000-00004C1B0000}"/>
    <cellStyle name="Normal 5 5 10" xfId="8826" xr:uid="{5746674A-546A-44BF-97FB-6D298BF3AD61}"/>
    <cellStyle name="Normal 5 5 11" xfId="9945" xr:uid="{F96A5936-94CA-4D6A-AA37-D2D44D980C5E}"/>
    <cellStyle name="Normal 5 5 2" xfId="465" xr:uid="{00000000-0005-0000-0000-00004D1B0000}"/>
    <cellStyle name="Normal 5 5 2 10" xfId="9946" xr:uid="{00272231-A3C0-4E6D-9BBD-E4B75C7BB987}"/>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DFAFB937-402D-456E-AAEA-5BE3896DC1A6}"/>
    <cellStyle name="Normal 5 5 2 2 2 2 3" xfId="12505" xr:uid="{F28142A3-FB99-46C1-97A9-9664822FC85F}"/>
    <cellStyle name="Normal 5 5 2 2 2 3" xfId="5251" xr:uid="{00000000-0005-0000-0000-0000521B0000}"/>
    <cellStyle name="Normal 5 5 2 2 2 3 2" xfId="14577" xr:uid="{7050D89C-2B9D-488A-8BCC-82D29B51CE4C}"/>
    <cellStyle name="Normal 5 5 2 2 2 4" xfId="9561" xr:uid="{FF1EB4DD-E23E-4228-816B-D59B021F724D}"/>
    <cellStyle name="Normal 5 5 2 2 2 5" xfId="10360" xr:uid="{B3AE1A9F-89CC-48ED-8692-4014F513CCE8}"/>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52385B12-B2FF-475F-920A-B743C4CC5FE8}"/>
    <cellStyle name="Normal 5 5 2 2 3 2 3" xfId="12918" xr:uid="{C2D9F603-DE0F-401D-9E15-68F8A9ED59FE}"/>
    <cellStyle name="Normal 5 5 2 2 3 3" xfId="5664" xr:uid="{00000000-0005-0000-0000-0000561B0000}"/>
    <cellStyle name="Normal 5 5 2 2 3 3 2" xfId="14990" xr:uid="{FA2D6EB2-EBCD-4F31-8231-2C32A23396F1}"/>
    <cellStyle name="Normal 5 5 2 2 3 4" xfId="10773" xr:uid="{8B2E5AC5-CB4B-4D71-9217-8B780E06B734}"/>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1204F49E-8702-44BF-AC80-E450137A8BEC}"/>
    <cellStyle name="Normal 5 5 2 2 4 2 3" xfId="13331" xr:uid="{F230DFBB-E5FC-4641-B41F-F1DAD7F7D690}"/>
    <cellStyle name="Normal 5 5 2 2 4 3" xfId="6077" xr:uid="{00000000-0005-0000-0000-00005A1B0000}"/>
    <cellStyle name="Normal 5 5 2 2 4 3 2" xfId="15403" xr:uid="{AE940975-5464-4136-BD14-5058BDE9C3FA}"/>
    <cellStyle name="Normal 5 5 2 2 4 4" xfId="11186" xr:uid="{71EA5670-B0E4-4CA6-9CDE-8ECEAAB93B91}"/>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E2FE038C-52C7-45D6-995F-FD79B95B66C2}"/>
    <cellStyle name="Normal 5 5 2 2 5 2 3" xfId="13744" xr:uid="{DE482A17-1574-4685-AAC4-B33334BFE3D6}"/>
    <cellStyle name="Normal 5 5 2 2 5 3" xfId="6490" xr:uid="{00000000-0005-0000-0000-00005E1B0000}"/>
    <cellStyle name="Normal 5 5 2 2 5 3 2" xfId="15816" xr:uid="{A68F42A0-E94E-4E3D-B347-A442DD2EAC31}"/>
    <cellStyle name="Normal 5 5 2 2 5 4" xfId="11599" xr:uid="{8FB39942-4650-4F4D-AAD9-45269F995E39}"/>
    <cellStyle name="Normal 5 5 2 2 6" xfId="2620" xr:uid="{00000000-0005-0000-0000-00005F1B0000}"/>
    <cellStyle name="Normal 5 5 2 2 6 2" xfId="6903" xr:uid="{00000000-0005-0000-0000-0000601B0000}"/>
    <cellStyle name="Normal 5 5 2 2 6 2 2" xfId="16229" xr:uid="{09692834-302B-4D2C-A023-F3086C5501AE}"/>
    <cellStyle name="Normal 5 5 2 2 6 3" xfId="12012" xr:uid="{CDF17B95-8C0A-462B-BCC5-1DAFEC6CFC80}"/>
    <cellStyle name="Normal 5 5 2 2 7" xfId="4838" xr:uid="{00000000-0005-0000-0000-0000611B0000}"/>
    <cellStyle name="Normal 5 5 2 2 7 2" xfId="14164" xr:uid="{5D7AB7FE-3F28-477D-8097-2DC7FDD4E1E4}"/>
    <cellStyle name="Normal 5 5 2 2 8" xfId="9136" xr:uid="{D41453B5-3BE6-4F01-B336-45A274529844}"/>
    <cellStyle name="Normal 5 5 2 2 9" xfId="9947" xr:uid="{F02190A4-6881-44DA-9423-9A41B21E158B}"/>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7BEB4340-42EE-4C6B-8433-E69E98AC5D15}"/>
    <cellStyle name="Normal 5 5 2 3 2 3" xfId="12504" xr:uid="{D00E81F1-DC38-46EC-85D0-882F5308BE0B}"/>
    <cellStyle name="Normal 5 5 2 3 3" xfId="5250" xr:uid="{00000000-0005-0000-0000-0000651B0000}"/>
    <cellStyle name="Normal 5 5 2 3 3 2" xfId="14576" xr:uid="{B7B3B728-2752-482B-91A5-65F8CC60E006}"/>
    <cellStyle name="Normal 5 5 2 3 4" xfId="9354" xr:uid="{3251F49D-E700-469D-9840-28045D408641}"/>
    <cellStyle name="Normal 5 5 2 3 5" xfId="10359" xr:uid="{6781F35D-48B4-47EF-9E39-929801397E47}"/>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53C7E4C3-AA09-4F03-8519-E338C9ED667C}"/>
    <cellStyle name="Normal 5 5 2 4 2 3" xfId="12917" xr:uid="{DB9492B7-BD5A-466A-8775-3149A5FB7463}"/>
    <cellStyle name="Normal 5 5 2 4 3" xfId="5663" xr:uid="{00000000-0005-0000-0000-0000691B0000}"/>
    <cellStyle name="Normal 5 5 2 4 3 2" xfId="14989" xr:uid="{29B1B221-48B5-4787-94BB-7FD10A5BD800}"/>
    <cellStyle name="Normal 5 5 2 4 4" xfId="10772" xr:uid="{F1C77DCB-75AE-4694-A698-BB4C81B910C1}"/>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496026C1-0B63-494D-A13C-BBA1BFCC5F9E}"/>
    <cellStyle name="Normal 5 5 2 5 2 3" xfId="13330" xr:uid="{5FEB6DE2-710B-4EE2-8950-4319728711FB}"/>
    <cellStyle name="Normal 5 5 2 5 3" xfId="6076" xr:uid="{00000000-0005-0000-0000-00006D1B0000}"/>
    <cellStyle name="Normal 5 5 2 5 3 2" xfId="15402" xr:uid="{6C0874F7-00BA-49BB-A4AC-CEEBE337C4D9}"/>
    <cellStyle name="Normal 5 5 2 5 4" xfId="11185" xr:uid="{EB65FB75-058D-4165-97FC-24C9D8EA4C27}"/>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E14D9D4E-F46F-4FB4-98E9-7F71AC1E22E7}"/>
    <cellStyle name="Normal 5 5 2 6 2 3" xfId="13743" xr:uid="{4565E119-5E43-4460-AAB4-D7DF439AA34B}"/>
    <cellStyle name="Normal 5 5 2 6 3" xfId="6489" xr:uid="{00000000-0005-0000-0000-0000711B0000}"/>
    <cellStyle name="Normal 5 5 2 6 3 2" xfId="15815" xr:uid="{E9365920-255F-4583-92E2-B1CEEACAE528}"/>
    <cellStyle name="Normal 5 5 2 6 4" xfId="11598" xr:uid="{39E25000-8949-4D69-8A98-95E602CD7E09}"/>
    <cellStyle name="Normal 5 5 2 7" xfId="2619" xr:uid="{00000000-0005-0000-0000-0000721B0000}"/>
    <cellStyle name="Normal 5 5 2 7 2" xfId="6902" xr:uid="{00000000-0005-0000-0000-0000731B0000}"/>
    <cellStyle name="Normal 5 5 2 7 2 2" xfId="16228" xr:uid="{D800DFA2-4CEA-4CD4-BD6A-F2AFB2151E1B}"/>
    <cellStyle name="Normal 5 5 2 7 3" xfId="12011" xr:uid="{E0237DD9-2A9E-49BA-92B8-839CD2AF32B5}"/>
    <cellStyle name="Normal 5 5 2 8" xfId="4837" xr:uid="{00000000-0005-0000-0000-0000741B0000}"/>
    <cellStyle name="Normal 5 5 2 8 2" xfId="14163" xr:uid="{4272D0B8-7777-4C19-A7CF-1FFEB638C95D}"/>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4FA6B4E6-3266-498B-9683-BB6DBE954AF9}"/>
    <cellStyle name="Normal 5 5 3 2 2 3" xfId="12506" xr:uid="{123486A7-E6C8-4909-8E17-649223B3353B}"/>
    <cellStyle name="Normal 5 5 3 2 3" xfId="5252" xr:uid="{00000000-0005-0000-0000-0000791B0000}"/>
    <cellStyle name="Normal 5 5 3 2 3 2" xfId="14578" xr:uid="{49B8D88D-A5D3-4059-B010-6DBE9CAF30E5}"/>
    <cellStyle name="Normal 5 5 3 2 4" xfId="9458" xr:uid="{8AD16727-CFBF-4DB5-B58F-04D48E2B564D}"/>
    <cellStyle name="Normal 5 5 3 2 5" xfId="10361" xr:uid="{7692E60C-D01A-4948-B9DE-41B4830754CB}"/>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E4F88F17-69CB-476A-AFAF-7CF6ABEBCE20}"/>
    <cellStyle name="Normal 5 5 3 3 2 3" xfId="12919" xr:uid="{897ACBCB-0637-4831-9A40-E0F1C2CEEBF7}"/>
    <cellStyle name="Normal 5 5 3 3 3" xfId="5665" xr:uid="{00000000-0005-0000-0000-00007D1B0000}"/>
    <cellStyle name="Normal 5 5 3 3 3 2" xfId="14991" xr:uid="{62FE53DE-628B-4B5F-992C-2C7A78B20EFC}"/>
    <cellStyle name="Normal 5 5 3 3 4" xfId="10774" xr:uid="{6903FAC8-F6A3-4EBB-BA5C-38073339D80A}"/>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9C76F1E3-B42D-45C7-84B8-2B6B722B5068}"/>
    <cellStyle name="Normal 5 5 3 4 2 3" xfId="13332" xr:uid="{E02F61A6-B95F-48FC-B87E-BA88F3FBB707}"/>
    <cellStyle name="Normal 5 5 3 4 3" xfId="6078" xr:uid="{00000000-0005-0000-0000-0000811B0000}"/>
    <cellStyle name="Normal 5 5 3 4 3 2" xfId="15404" xr:uid="{EA0189CB-382B-41FD-8022-E6499E0492D4}"/>
    <cellStyle name="Normal 5 5 3 4 4" xfId="11187" xr:uid="{21EED907-541F-4B61-97FF-A6B679EE62A4}"/>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475838C5-2629-4058-BC1B-9CE8C13A7C22}"/>
    <cellStyle name="Normal 5 5 3 5 2 3" xfId="13745" xr:uid="{4ECF5A29-98E1-416A-AEF8-7CC0B829805E}"/>
    <cellStyle name="Normal 5 5 3 5 3" xfId="6491" xr:uid="{00000000-0005-0000-0000-0000851B0000}"/>
    <cellStyle name="Normal 5 5 3 5 3 2" xfId="15817" xr:uid="{5F8DAAD8-2878-4B34-A476-1B4E0749A484}"/>
    <cellStyle name="Normal 5 5 3 5 4" xfId="11600" xr:uid="{DDD74D75-A78B-4DF6-8460-5D4A1062449B}"/>
    <cellStyle name="Normal 5 5 3 6" xfId="2621" xr:uid="{00000000-0005-0000-0000-0000861B0000}"/>
    <cellStyle name="Normal 5 5 3 6 2" xfId="6904" xr:uid="{00000000-0005-0000-0000-0000871B0000}"/>
    <cellStyle name="Normal 5 5 3 6 2 2" xfId="16230" xr:uid="{244E81EC-7BC0-4717-B27F-363453AFC9CA}"/>
    <cellStyle name="Normal 5 5 3 6 3" xfId="12013" xr:uid="{7E70D5C8-E2B6-4E31-A841-A29BCDC69CE9}"/>
    <cellStyle name="Normal 5 5 3 7" xfId="4839" xr:uid="{00000000-0005-0000-0000-0000881B0000}"/>
    <cellStyle name="Normal 5 5 3 7 2" xfId="14165" xr:uid="{C13BFC84-93BD-4F13-AA04-457552ADDE20}"/>
    <cellStyle name="Normal 5 5 3 8" xfId="9033" xr:uid="{08F77EF7-8D03-42D9-B538-FE3582C4B971}"/>
    <cellStyle name="Normal 5 5 3 9" xfId="9948" xr:uid="{900A6D03-4D8B-4578-BADA-B5F8AE01ACBB}"/>
    <cellStyle name="Normal 5 5 4" xfId="938" xr:uid="{00000000-0005-0000-0000-0000891B0000}"/>
    <cellStyle name="Normal 5 5 4 2" xfId="3172" xr:uid="{00000000-0005-0000-0000-00008A1B0000}"/>
    <cellStyle name="Normal 5 5 4 2 2" xfId="7394" xr:uid="{00000000-0005-0000-0000-00008B1B0000}"/>
    <cellStyle name="Normal 5 5 4 2 2 2" xfId="16720" xr:uid="{FA8523D5-2D3F-46DF-BB0D-8CCBAEBB911E}"/>
    <cellStyle name="Normal 5 5 4 2 3" xfId="12503" xr:uid="{99246F88-E428-4ECF-9F38-E6CA56E860D4}"/>
    <cellStyle name="Normal 5 5 4 3" xfId="5249" xr:uid="{00000000-0005-0000-0000-00008C1B0000}"/>
    <cellStyle name="Normal 5 5 4 3 2" xfId="14575" xr:uid="{A6DE632A-55D3-49BF-A9F5-1D00915852AC}"/>
    <cellStyle name="Normal 5 5 4 4" xfId="9251" xr:uid="{4EAD9E35-D3C9-46BE-AE4D-29A1C6D5A6F7}"/>
    <cellStyle name="Normal 5 5 4 5" xfId="10358" xr:uid="{606855E5-F927-40B9-87C7-E396EE39D2C3}"/>
    <cellStyle name="Normal 5 5 5" xfId="1355" xr:uid="{00000000-0005-0000-0000-00008D1B0000}"/>
    <cellStyle name="Normal 5 5 5 2" xfId="3585" xr:uid="{00000000-0005-0000-0000-00008E1B0000}"/>
    <cellStyle name="Normal 5 5 5 2 2" xfId="7807" xr:uid="{00000000-0005-0000-0000-00008F1B0000}"/>
    <cellStyle name="Normal 5 5 5 2 2 2" xfId="17133" xr:uid="{6FD524AF-557A-4A23-8850-9A4A0177BFFD}"/>
    <cellStyle name="Normal 5 5 5 2 3" xfId="12916" xr:uid="{C426B2B5-54B9-4331-ACCC-35478B47111E}"/>
    <cellStyle name="Normal 5 5 5 3" xfId="5662" xr:uid="{00000000-0005-0000-0000-0000901B0000}"/>
    <cellStyle name="Normal 5 5 5 3 2" xfId="14988" xr:uid="{9838664E-D0BE-4834-93DA-43BAB45F0D6B}"/>
    <cellStyle name="Normal 5 5 5 4" xfId="10771" xr:uid="{154D39CD-C759-4C94-8EC9-221CB7570AE8}"/>
    <cellStyle name="Normal 5 5 6" xfId="1768" xr:uid="{00000000-0005-0000-0000-0000911B0000}"/>
    <cellStyle name="Normal 5 5 6 2" xfId="3998" xr:uid="{00000000-0005-0000-0000-0000921B0000}"/>
    <cellStyle name="Normal 5 5 6 2 2" xfId="8220" xr:uid="{00000000-0005-0000-0000-0000931B0000}"/>
    <cellStyle name="Normal 5 5 6 2 2 2" xfId="17546" xr:uid="{BC462E3C-7952-459F-BEDE-B4C9CEA85316}"/>
    <cellStyle name="Normal 5 5 6 2 3" xfId="13329" xr:uid="{159021EB-9555-4F3D-8B2A-3127AA1E711A}"/>
    <cellStyle name="Normal 5 5 6 3" xfId="6075" xr:uid="{00000000-0005-0000-0000-0000941B0000}"/>
    <cellStyle name="Normal 5 5 6 3 2" xfId="15401" xr:uid="{2077C8E2-D331-4982-9441-E116B9DB1EFF}"/>
    <cellStyle name="Normal 5 5 6 4" xfId="11184" xr:uid="{F6B54241-8EE3-459E-91D1-F7F8CEC30E20}"/>
    <cellStyle name="Normal 5 5 7" xfId="2182" xr:uid="{00000000-0005-0000-0000-0000951B0000}"/>
    <cellStyle name="Normal 5 5 7 2" xfId="4411" xr:uid="{00000000-0005-0000-0000-0000961B0000}"/>
    <cellStyle name="Normal 5 5 7 2 2" xfId="8633" xr:uid="{00000000-0005-0000-0000-0000971B0000}"/>
    <cellStyle name="Normal 5 5 7 2 2 2" xfId="17959" xr:uid="{AC173E26-3C3A-486E-B36A-FAD7EC7AB99F}"/>
    <cellStyle name="Normal 5 5 7 2 3" xfId="13742" xr:uid="{6E746B41-1C9F-428E-8542-597C89732381}"/>
    <cellStyle name="Normal 5 5 7 3" xfId="6488" xr:uid="{00000000-0005-0000-0000-0000981B0000}"/>
    <cellStyle name="Normal 5 5 7 3 2" xfId="15814" xr:uid="{9C7BB524-F850-48E2-9739-4B2631645BA9}"/>
    <cellStyle name="Normal 5 5 7 4" xfId="11597" xr:uid="{EFE04B17-BB8F-4A7D-B52B-C0CF3EEDA5CB}"/>
    <cellStyle name="Normal 5 5 8" xfId="2618" xr:uid="{00000000-0005-0000-0000-0000991B0000}"/>
    <cellStyle name="Normal 5 5 8 2" xfId="6901" xr:uid="{00000000-0005-0000-0000-00009A1B0000}"/>
    <cellStyle name="Normal 5 5 8 2 2" xfId="16227" xr:uid="{0085DECF-2934-4CD4-8BB9-0A7EE1DCAD5A}"/>
    <cellStyle name="Normal 5 5 8 3" xfId="12010" xr:uid="{DE6A7134-3AAA-40CA-97A1-7980D0FB27C0}"/>
    <cellStyle name="Normal 5 5 9" xfId="4836" xr:uid="{00000000-0005-0000-0000-00009B1B0000}"/>
    <cellStyle name="Normal 5 5 9 2" xfId="14162" xr:uid="{BA70E2F7-689A-4BF4-8310-CC84817A45CD}"/>
    <cellStyle name="Normal 5 6" xfId="468" xr:uid="{00000000-0005-0000-0000-00009C1B0000}"/>
    <cellStyle name="Normal 5 6 10" xfId="9949" xr:uid="{3D5CA258-B25B-41B7-AA39-5302E8B1DF5F}"/>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932F6859-CAB6-4311-BC07-29C6904FD07C}"/>
    <cellStyle name="Normal 5 6 2 2 2 3" xfId="12508" xr:uid="{6368386D-6F59-4977-8DFE-C389C0DCE461}"/>
    <cellStyle name="Normal 5 6 2 2 3" xfId="5254" xr:uid="{00000000-0005-0000-0000-0000A11B0000}"/>
    <cellStyle name="Normal 5 6 2 2 3 2" xfId="14580" xr:uid="{06CB62B4-E9B2-448E-B69A-A9B3E90F473C}"/>
    <cellStyle name="Normal 5 6 2 2 4" xfId="9476" xr:uid="{3B3E6CA1-4D97-4B11-99D5-4F82314AA0E0}"/>
    <cellStyle name="Normal 5 6 2 2 5" xfId="10363" xr:uid="{118B56E8-2C42-424B-A972-C59E0C34C882}"/>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95161A55-F158-4321-AD94-FCC89E38ABFC}"/>
    <cellStyle name="Normal 5 6 2 3 2 3" xfId="12921" xr:uid="{3C1CC29A-BFB1-44E8-AFF6-670882DE4B95}"/>
    <cellStyle name="Normal 5 6 2 3 3" xfId="5667" xr:uid="{00000000-0005-0000-0000-0000A51B0000}"/>
    <cellStyle name="Normal 5 6 2 3 3 2" xfId="14993" xr:uid="{5A42A4FE-D94B-4B2E-85DA-D13087007E3B}"/>
    <cellStyle name="Normal 5 6 2 3 4" xfId="10776" xr:uid="{7CB2F15A-12AD-41CB-BC8D-FD4FC85EEBA7}"/>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7BEA97F3-5B4B-4458-B5E9-9F582BEA22C7}"/>
    <cellStyle name="Normal 5 6 2 4 2 3" xfId="13334" xr:uid="{0AA6D854-5324-4481-BC27-B38BC4B607FB}"/>
    <cellStyle name="Normal 5 6 2 4 3" xfId="6080" xr:uid="{00000000-0005-0000-0000-0000A91B0000}"/>
    <cellStyle name="Normal 5 6 2 4 3 2" xfId="15406" xr:uid="{2940DC8D-D9D1-4EA0-8EB5-A96660338633}"/>
    <cellStyle name="Normal 5 6 2 4 4" xfId="11189" xr:uid="{DE33F563-16BE-48A6-982B-9832ECA57ACE}"/>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A51B485B-C30B-4241-A302-1DBA79F7C2F5}"/>
    <cellStyle name="Normal 5 6 2 5 2 3" xfId="13747" xr:uid="{855C9678-40DC-4AFE-8E45-9DCA3749F1AB}"/>
    <cellStyle name="Normal 5 6 2 5 3" xfId="6493" xr:uid="{00000000-0005-0000-0000-0000AD1B0000}"/>
    <cellStyle name="Normal 5 6 2 5 3 2" xfId="15819" xr:uid="{61770FF5-4EC9-4E20-8FBD-8C847ECA2527}"/>
    <cellStyle name="Normal 5 6 2 5 4" xfId="11602" xr:uid="{6E84073D-E7DD-4A9A-97BF-5207648FE9C0}"/>
    <cellStyle name="Normal 5 6 2 6" xfId="2623" xr:uid="{00000000-0005-0000-0000-0000AE1B0000}"/>
    <cellStyle name="Normal 5 6 2 6 2" xfId="6906" xr:uid="{00000000-0005-0000-0000-0000AF1B0000}"/>
    <cellStyle name="Normal 5 6 2 6 2 2" xfId="16232" xr:uid="{6BA496D4-CB40-4F32-88B8-76C088D9FF3A}"/>
    <cellStyle name="Normal 5 6 2 6 3" xfId="12015" xr:uid="{7B555BF3-D377-4460-8E3D-F8902CB3BA5C}"/>
    <cellStyle name="Normal 5 6 2 7" xfId="4841" xr:uid="{00000000-0005-0000-0000-0000B01B0000}"/>
    <cellStyle name="Normal 5 6 2 7 2" xfId="14167" xr:uid="{CA435507-0A08-4BB2-BB79-C3A268EC9863}"/>
    <cellStyle name="Normal 5 6 2 8" xfId="9051" xr:uid="{97C72229-9AC1-4DA9-8A0B-8B4B6D970DE8}"/>
    <cellStyle name="Normal 5 6 2 9" xfId="9950" xr:uid="{B1B1DBBF-E95E-454D-8B28-7A184F0FF7E0}"/>
    <cellStyle name="Normal 5 6 3" xfId="942" xr:uid="{00000000-0005-0000-0000-0000B11B0000}"/>
    <cellStyle name="Normal 5 6 3 2" xfId="3176" xr:uid="{00000000-0005-0000-0000-0000B21B0000}"/>
    <cellStyle name="Normal 5 6 3 2 2" xfId="7398" xr:uid="{00000000-0005-0000-0000-0000B31B0000}"/>
    <cellStyle name="Normal 5 6 3 2 2 2" xfId="16724" xr:uid="{A58F27E4-4EEB-49A8-988D-6B59884B7A0C}"/>
    <cellStyle name="Normal 5 6 3 2 3" xfId="12507" xr:uid="{FBB4E6E6-C7A9-444C-9E99-FEAA30C67685}"/>
    <cellStyle name="Normal 5 6 3 3" xfId="5253" xr:uid="{00000000-0005-0000-0000-0000B41B0000}"/>
    <cellStyle name="Normal 5 6 3 3 2" xfId="14579" xr:uid="{124BD253-767A-48A1-96D4-2BD8C1FC9051}"/>
    <cellStyle name="Normal 5 6 3 4" xfId="9269" xr:uid="{7D6728A0-C210-4F3F-8114-143B9AE0BFB4}"/>
    <cellStyle name="Normal 5 6 3 5" xfId="10362" xr:uid="{019A4398-ED31-4519-91B5-4BE86174504E}"/>
    <cellStyle name="Normal 5 6 4" xfId="1359" xr:uid="{00000000-0005-0000-0000-0000B51B0000}"/>
    <cellStyle name="Normal 5 6 4 2" xfId="3589" xr:uid="{00000000-0005-0000-0000-0000B61B0000}"/>
    <cellStyle name="Normal 5 6 4 2 2" xfId="7811" xr:uid="{00000000-0005-0000-0000-0000B71B0000}"/>
    <cellStyle name="Normal 5 6 4 2 2 2" xfId="17137" xr:uid="{AC21B926-1C2E-4E72-B5E4-CE281B8BF88B}"/>
    <cellStyle name="Normal 5 6 4 2 3" xfId="12920" xr:uid="{6E7D07C7-7120-465D-A134-6521B46C6217}"/>
    <cellStyle name="Normal 5 6 4 3" xfId="5666" xr:uid="{00000000-0005-0000-0000-0000B81B0000}"/>
    <cellStyle name="Normal 5 6 4 3 2" xfId="14992" xr:uid="{7195FFB6-1AD0-48D8-8461-397AC5F7F3CA}"/>
    <cellStyle name="Normal 5 6 4 4" xfId="10775" xr:uid="{AB9E226D-4FB1-4D5D-B8C4-5422F403FD37}"/>
    <cellStyle name="Normal 5 6 5" xfId="1772" xr:uid="{00000000-0005-0000-0000-0000B91B0000}"/>
    <cellStyle name="Normal 5 6 5 2" xfId="4002" xr:uid="{00000000-0005-0000-0000-0000BA1B0000}"/>
    <cellStyle name="Normal 5 6 5 2 2" xfId="8224" xr:uid="{00000000-0005-0000-0000-0000BB1B0000}"/>
    <cellStyle name="Normal 5 6 5 2 2 2" xfId="17550" xr:uid="{13320F09-B01B-4170-839B-E571008A39C6}"/>
    <cellStyle name="Normal 5 6 5 2 3" xfId="13333" xr:uid="{0BA0FCC0-79F1-462D-9D2C-089E0AFC650F}"/>
    <cellStyle name="Normal 5 6 5 3" xfId="6079" xr:uid="{00000000-0005-0000-0000-0000BC1B0000}"/>
    <cellStyle name="Normal 5 6 5 3 2" xfId="15405" xr:uid="{C1704D9D-43F0-4001-BB83-195C7805B72F}"/>
    <cellStyle name="Normal 5 6 5 4" xfId="11188" xr:uid="{B16BFF50-0999-4DB6-9F9A-454466589E8A}"/>
    <cellStyle name="Normal 5 6 6" xfId="2186" xr:uid="{00000000-0005-0000-0000-0000BD1B0000}"/>
    <cellStyle name="Normal 5 6 6 2" xfId="4415" xr:uid="{00000000-0005-0000-0000-0000BE1B0000}"/>
    <cellStyle name="Normal 5 6 6 2 2" xfId="8637" xr:uid="{00000000-0005-0000-0000-0000BF1B0000}"/>
    <cellStyle name="Normal 5 6 6 2 2 2" xfId="17963" xr:uid="{8FF28EB7-13D5-4A9A-AF50-568881E092C1}"/>
    <cellStyle name="Normal 5 6 6 2 3" xfId="13746" xr:uid="{395D6A2A-4752-49BB-B708-514098E0F06F}"/>
    <cellStyle name="Normal 5 6 6 3" xfId="6492" xr:uid="{00000000-0005-0000-0000-0000C01B0000}"/>
    <cellStyle name="Normal 5 6 6 3 2" xfId="15818" xr:uid="{F66B19BD-938E-47CA-A471-84C8B7E4D33B}"/>
    <cellStyle name="Normal 5 6 6 4" xfId="11601" xr:uid="{3ABAF5E7-827D-4935-BBBA-4E0800479D92}"/>
    <cellStyle name="Normal 5 6 7" xfId="2622" xr:uid="{00000000-0005-0000-0000-0000C11B0000}"/>
    <cellStyle name="Normal 5 6 7 2" xfId="6905" xr:uid="{00000000-0005-0000-0000-0000C21B0000}"/>
    <cellStyle name="Normal 5 6 7 2 2" xfId="16231" xr:uid="{91AAC623-749B-4AA9-B71A-5B1688B0040B}"/>
    <cellStyle name="Normal 5 6 7 3" xfId="12014" xr:uid="{563CC995-7270-46BE-A569-0E145BA979E2}"/>
    <cellStyle name="Normal 5 6 8" xfId="4840" xr:uid="{00000000-0005-0000-0000-0000C31B0000}"/>
    <cellStyle name="Normal 5 6 8 2" xfId="14166" xr:uid="{F12F44C7-57FA-4F32-931E-322A6C56BE27}"/>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726" xr:uid="{924D62E8-196E-4DED-ACB3-CE5A9C2A374D}"/>
    <cellStyle name="Normal 5 7 2 2 3" xfId="12509" xr:uid="{2855B3B3-5E16-4ED3-A93C-558176A524E7}"/>
    <cellStyle name="Normal 5 7 2 3" xfId="5255" xr:uid="{00000000-0005-0000-0000-0000C81B0000}"/>
    <cellStyle name="Normal 5 7 2 3 2" xfId="14581" xr:uid="{556A1039-91F7-413B-ABA9-4F4CC4775534}"/>
    <cellStyle name="Normal 5 7 2 4" xfId="9385" xr:uid="{2E4A3B0A-2E42-41AC-9564-09D1598995A2}"/>
    <cellStyle name="Normal 5 7 2 5" xfId="10364" xr:uid="{7CC7FCF5-4FE0-4650-890A-81AB896A694E}"/>
    <cellStyle name="Normal 5 7 3" xfId="1361" xr:uid="{00000000-0005-0000-0000-0000C91B0000}"/>
    <cellStyle name="Normal 5 7 3 2" xfId="3591" xr:uid="{00000000-0005-0000-0000-0000CA1B0000}"/>
    <cellStyle name="Normal 5 7 3 2 2" xfId="7813" xr:uid="{00000000-0005-0000-0000-0000CB1B0000}"/>
    <cellStyle name="Normal 5 7 3 2 2 2" xfId="17139" xr:uid="{CD2761DC-FF53-4274-82EF-E76996CEAB05}"/>
    <cellStyle name="Normal 5 7 3 2 3" xfId="12922" xr:uid="{46DBF1E2-C53C-43AD-AF64-4BA8EEA8E5D0}"/>
    <cellStyle name="Normal 5 7 3 3" xfId="5668" xr:uid="{00000000-0005-0000-0000-0000CC1B0000}"/>
    <cellStyle name="Normal 5 7 3 3 2" xfId="14994" xr:uid="{E9CEB1D2-C9B4-4432-8ECD-69A3EC2E5B3D}"/>
    <cellStyle name="Normal 5 7 3 4" xfId="10777" xr:uid="{D97D836A-FB51-413A-92BB-7EEF9DADB6C8}"/>
    <cellStyle name="Normal 5 7 4" xfId="1774" xr:uid="{00000000-0005-0000-0000-0000CD1B0000}"/>
    <cellStyle name="Normal 5 7 4 2" xfId="4004" xr:uid="{00000000-0005-0000-0000-0000CE1B0000}"/>
    <cellStyle name="Normal 5 7 4 2 2" xfId="8226" xr:uid="{00000000-0005-0000-0000-0000CF1B0000}"/>
    <cellStyle name="Normal 5 7 4 2 2 2" xfId="17552" xr:uid="{099B40F8-C35D-446E-B15D-48C1219F93BA}"/>
    <cellStyle name="Normal 5 7 4 2 3" xfId="13335" xr:uid="{DD9A7ADA-D47C-4967-89D0-71115A1CE93C}"/>
    <cellStyle name="Normal 5 7 4 3" xfId="6081" xr:uid="{00000000-0005-0000-0000-0000D01B0000}"/>
    <cellStyle name="Normal 5 7 4 3 2" xfId="15407" xr:uid="{7D33E654-9E76-4990-8B92-57A94B5D010F}"/>
    <cellStyle name="Normal 5 7 4 4" xfId="11190" xr:uid="{A9D72ED8-347F-4CFD-B8D3-376FF7BA5FF1}"/>
    <cellStyle name="Normal 5 7 5" xfId="2188" xr:uid="{00000000-0005-0000-0000-0000D11B0000}"/>
    <cellStyle name="Normal 5 7 5 2" xfId="4417" xr:uid="{00000000-0005-0000-0000-0000D21B0000}"/>
    <cellStyle name="Normal 5 7 5 2 2" xfId="8639" xr:uid="{00000000-0005-0000-0000-0000D31B0000}"/>
    <cellStyle name="Normal 5 7 5 2 2 2" xfId="17965" xr:uid="{E5F9F3DF-D43F-4EA4-BFCF-2F5B169E0210}"/>
    <cellStyle name="Normal 5 7 5 2 3" xfId="13748" xr:uid="{FF8D8BC7-78DC-4B8F-BF86-640A3F53533B}"/>
    <cellStyle name="Normal 5 7 5 3" xfId="6494" xr:uid="{00000000-0005-0000-0000-0000D41B0000}"/>
    <cellStyle name="Normal 5 7 5 3 2" xfId="15820" xr:uid="{10293690-B03C-47CE-9B25-1F3AC4360241}"/>
    <cellStyle name="Normal 5 7 5 4" xfId="11603" xr:uid="{FF1674AC-D5AD-48E2-9580-6DD8B6704976}"/>
    <cellStyle name="Normal 5 7 6" xfId="2624" xr:uid="{00000000-0005-0000-0000-0000D51B0000}"/>
    <cellStyle name="Normal 5 7 6 2" xfId="6907" xr:uid="{00000000-0005-0000-0000-0000D61B0000}"/>
    <cellStyle name="Normal 5 7 6 2 2" xfId="16233" xr:uid="{57E68EC8-B738-41ED-9E40-851B50EAED0B}"/>
    <cellStyle name="Normal 5 7 6 3" xfId="12016" xr:uid="{FB79E0AA-8C18-44AA-A5F5-36E75221CE07}"/>
    <cellStyle name="Normal 5 7 7" xfId="4842" xr:uid="{00000000-0005-0000-0000-0000D71B0000}"/>
    <cellStyle name="Normal 5 7 7 2" xfId="14168" xr:uid="{6E6A1555-198D-490E-B7C8-654E8D4CB1DE}"/>
    <cellStyle name="Normal 5 7 8" xfId="8960" xr:uid="{F4BEC964-53C9-4393-B7F1-69B47FC1FF25}"/>
    <cellStyle name="Normal 5 7 9" xfId="9951" xr:uid="{09D8AE75-D21E-41F9-BC57-E4553784678D}"/>
    <cellStyle name="Normal 5 8" xfId="880" xr:uid="{00000000-0005-0000-0000-0000D81B0000}"/>
    <cellStyle name="Normal 5 8 2" xfId="3115" xr:uid="{00000000-0005-0000-0000-0000D91B0000}"/>
    <cellStyle name="Normal 5 8 2 2" xfId="7337" xr:uid="{00000000-0005-0000-0000-0000DA1B0000}"/>
    <cellStyle name="Normal 5 8 2 2 2" xfId="16663" xr:uid="{662C3420-C929-45E0-A41B-4C1982176D7D}"/>
    <cellStyle name="Normal 5 8 2 3" xfId="12446" xr:uid="{577DC8A6-3FBD-4315-9A25-4676CB18DD37}"/>
    <cellStyle name="Normal 5 8 3" xfId="5192" xr:uid="{00000000-0005-0000-0000-0000DB1B0000}"/>
    <cellStyle name="Normal 5 8 3 2" xfId="14518" xr:uid="{9B049D7A-29D6-449F-96B9-7840EC1E6C2E}"/>
    <cellStyle name="Normal 5 8 4" xfId="9163" xr:uid="{44C7CAD4-DD7C-48E0-9142-8ED22123C662}"/>
    <cellStyle name="Normal 5 8 5" xfId="10301" xr:uid="{E6664702-DD04-46B3-A786-597888A89F0F}"/>
    <cellStyle name="Normal 5 9" xfId="1298" xr:uid="{00000000-0005-0000-0000-0000DC1B0000}"/>
    <cellStyle name="Normal 5 9 2" xfId="3528" xr:uid="{00000000-0005-0000-0000-0000DD1B0000}"/>
    <cellStyle name="Normal 5 9 2 2" xfId="7750" xr:uid="{00000000-0005-0000-0000-0000DE1B0000}"/>
    <cellStyle name="Normal 5 9 2 2 2" xfId="17076" xr:uid="{11A3AE87-E9E2-4A75-9646-4B3586D6608F}"/>
    <cellStyle name="Normal 5 9 2 3" xfId="12859" xr:uid="{8A8C7152-0F9E-4EAF-87DB-2982179C85F8}"/>
    <cellStyle name="Normal 5 9 3" xfId="5605" xr:uid="{00000000-0005-0000-0000-0000DF1B0000}"/>
    <cellStyle name="Normal 5 9 3 2" xfId="14931" xr:uid="{ECB77E47-5376-4FAC-8DF0-5C733B7FBED3}"/>
    <cellStyle name="Normal 5 9 4" xfId="10714" xr:uid="{27072E88-36F3-44A0-8FA7-8392F633CB2E}"/>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DA4E7A5F-0163-47E9-A8C3-B8BB7EDAC2C7}"/>
    <cellStyle name="Normal 8 10 2 3" xfId="13749" xr:uid="{4AF6DA7F-B5B7-48A9-80C6-1CF88FA7A11C}"/>
    <cellStyle name="Normal 8 10 3" xfId="6495" xr:uid="{00000000-0005-0000-0000-0000EB1B0000}"/>
    <cellStyle name="Normal 8 10 3 2" xfId="15821" xr:uid="{ABFF3D1F-120C-40F8-A895-6485A8DF07D6}"/>
    <cellStyle name="Normal 8 10 4" xfId="11604" xr:uid="{C7F269DA-7E25-48B4-8C36-9315CE4A35E4}"/>
    <cellStyle name="Normal 8 11" xfId="2625" xr:uid="{00000000-0005-0000-0000-0000EC1B0000}"/>
    <cellStyle name="Normal 8 11 2" xfId="6908" xr:uid="{00000000-0005-0000-0000-0000ED1B0000}"/>
    <cellStyle name="Normal 8 11 2 2" xfId="16234" xr:uid="{F40A9B2F-DBF2-4EC3-951A-B4EE86BD374C}"/>
    <cellStyle name="Normal 8 11 3" xfId="12017" xr:uid="{53DF3867-3485-4F74-9B44-8B5B02C23EAB}"/>
    <cellStyle name="Normal 8 12" xfId="4843" xr:uid="{00000000-0005-0000-0000-0000EE1B0000}"/>
    <cellStyle name="Normal 8 12 2" xfId="14169" xr:uid="{B9CFEEC1-7AA7-4740-99D6-008A58C68A28}"/>
    <cellStyle name="Normal 8 13" xfId="8742" xr:uid="{AF36CBBC-3EEB-4AC8-923B-65C7C2418AB0}"/>
    <cellStyle name="Normal 8 14" xfId="9952" xr:uid="{17BCFCD4-9890-4A95-AA66-40080BA17173}"/>
    <cellStyle name="Normal 8 2" xfId="479" xr:uid="{00000000-0005-0000-0000-0000EF1B0000}"/>
    <cellStyle name="Normal 8 2 10" xfId="2626" xr:uid="{00000000-0005-0000-0000-0000F01B0000}"/>
    <cellStyle name="Normal 8 2 10 2" xfId="6909" xr:uid="{00000000-0005-0000-0000-0000F11B0000}"/>
    <cellStyle name="Normal 8 2 10 2 2" xfId="16235" xr:uid="{97480177-D7C5-4111-8ABB-02CD9C02C418}"/>
    <cellStyle name="Normal 8 2 10 3" xfId="12018" xr:uid="{77D43CC7-4D1E-4189-9A08-421E40984556}"/>
    <cellStyle name="Normal 8 2 11" xfId="4844" xr:uid="{00000000-0005-0000-0000-0000F21B0000}"/>
    <cellStyle name="Normal 8 2 11 2" xfId="14170" xr:uid="{A0E6277C-D9DA-4D49-824E-B4706029F16D}"/>
    <cellStyle name="Normal 8 2 12" xfId="8751" xr:uid="{476D0553-3387-4D9F-B05B-56EC7A36F7A1}"/>
    <cellStyle name="Normal 8 2 13" xfId="9953" xr:uid="{A2A46D19-2673-4E39-8013-E8CB1BC5CC67}"/>
    <cellStyle name="Normal 8 2 2" xfId="480" xr:uid="{00000000-0005-0000-0000-0000F31B0000}"/>
    <cellStyle name="Normal 8 2 2 10" xfId="4845" xr:uid="{00000000-0005-0000-0000-0000F41B0000}"/>
    <cellStyle name="Normal 8 2 2 10 2" xfId="14171" xr:uid="{293EF7B1-9532-45C5-8AE8-CD571FF84BCF}"/>
    <cellStyle name="Normal 8 2 2 11" xfId="8783" xr:uid="{3C426022-C415-47DA-A8EF-1D6CE72527BD}"/>
    <cellStyle name="Normal 8 2 2 12" xfId="9954" xr:uid="{C105E5FD-DD26-401D-B5C4-F5AD9C0B5E9B}"/>
    <cellStyle name="Normal 8 2 2 2" xfId="481" xr:uid="{00000000-0005-0000-0000-0000F51B0000}"/>
    <cellStyle name="Normal 8 2 2 2 10" xfId="8836" xr:uid="{870E50AF-610D-4E0C-BDE0-389D6B32A0FA}"/>
    <cellStyle name="Normal 8 2 2 2 11" xfId="9955" xr:uid="{7645A0F1-8254-4026-AFB7-C011A0DF8EBF}"/>
    <cellStyle name="Normal 8 2 2 2 2" xfId="482" xr:uid="{00000000-0005-0000-0000-0000F61B0000}"/>
    <cellStyle name="Normal 8 2 2 2 2 10" xfId="9956" xr:uid="{2025CF01-E39C-478E-BA4F-D524C4276A62}"/>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ADF86D28-537F-4439-B830-7B16E77233B0}"/>
    <cellStyle name="Normal 8 2 2 2 2 2 2 2 3" xfId="12515" xr:uid="{23081BE0-436B-44E7-8F5D-3DB3DBC51E4B}"/>
    <cellStyle name="Normal 8 2 2 2 2 2 2 3" xfId="5261" xr:uid="{00000000-0005-0000-0000-0000FB1B0000}"/>
    <cellStyle name="Normal 8 2 2 2 2 2 2 3 2" xfId="14587" xr:uid="{3376BD28-DD5D-41B2-85B4-E539456241EB}"/>
    <cellStyle name="Normal 8 2 2 2 2 2 2 4" xfId="9571" xr:uid="{B467C179-FE08-45F9-B1E6-E66379D80EBC}"/>
    <cellStyle name="Normal 8 2 2 2 2 2 2 5" xfId="10370" xr:uid="{150B7C50-9EFF-4561-A134-C46057A6ADA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DF2643E9-17E4-4267-BAEE-BEA223D108F0}"/>
    <cellStyle name="Normal 8 2 2 2 2 2 3 2 3" xfId="12928" xr:uid="{CFF841DD-6B77-48BB-8392-DE8F03E1DB7B}"/>
    <cellStyle name="Normal 8 2 2 2 2 2 3 3" xfId="5674" xr:uid="{00000000-0005-0000-0000-0000FF1B0000}"/>
    <cellStyle name="Normal 8 2 2 2 2 2 3 3 2" xfId="15000" xr:uid="{C84C600D-4E40-4761-854A-72C990C4444F}"/>
    <cellStyle name="Normal 8 2 2 2 2 2 3 4" xfId="10783" xr:uid="{E59DC46B-029F-4CD4-8F67-B8BB24EF478B}"/>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B24BEB88-1B11-4628-ACCA-0F15DF7E3158}"/>
    <cellStyle name="Normal 8 2 2 2 2 2 4 2 3" xfId="13341" xr:uid="{05449BCC-B559-4B1F-8F1B-74C77AA7266E}"/>
    <cellStyle name="Normal 8 2 2 2 2 2 4 3" xfId="6087" xr:uid="{00000000-0005-0000-0000-0000031C0000}"/>
    <cellStyle name="Normal 8 2 2 2 2 2 4 3 2" xfId="15413" xr:uid="{C9636AE8-8D40-420E-82DD-0E203C0463E8}"/>
    <cellStyle name="Normal 8 2 2 2 2 2 4 4" xfId="11196" xr:uid="{22ADFBFD-475E-4998-81A7-B21E671426E4}"/>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10438E80-1E0A-4332-92CA-569D048CE650}"/>
    <cellStyle name="Normal 8 2 2 2 2 2 5 2 3" xfId="13754" xr:uid="{081E0115-9F8E-46D8-9E28-307DCE915FF4}"/>
    <cellStyle name="Normal 8 2 2 2 2 2 5 3" xfId="6500" xr:uid="{00000000-0005-0000-0000-0000071C0000}"/>
    <cellStyle name="Normal 8 2 2 2 2 2 5 3 2" xfId="15826" xr:uid="{ED4ADC6D-F3B5-4270-9755-60D7D11B2FE7}"/>
    <cellStyle name="Normal 8 2 2 2 2 2 5 4" xfId="11609" xr:uid="{348F2C54-63AB-48C8-B138-2D4F75CF030A}"/>
    <cellStyle name="Normal 8 2 2 2 2 2 6" xfId="2630" xr:uid="{00000000-0005-0000-0000-0000081C0000}"/>
    <cellStyle name="Normal 8 2 2 2 2 2 6 2" xfId="6913" xr:uid="{00000000-0005-0000-0000-0000091C0000}"/>
    <cellStyle name="Normal 8 2 2 2 2 2 6 2 2" xfId="16239" xr:uid="{18C6EA4A-5DB7-4591-B346-12341444925F}"/>
    <cellStyle name="Normal 8 2 2 2 2 2 6 3" xfId="12022" xr:uid="{E442A9DA-8A6F-46C5-888D-0BAC0564B693}"/>
    <cellStyle name="Normal 8 2 2 2 2 2 7" xfId="4848" xr:uid="{00000000-0005-0000-0000-00000A1C0000}"/>
    <cellStyle name="Normal 8 2 2 2 2 2 7 2" xfId="14174" xr:uid="{8887AAF7-2243-40E7-84EC-B43A4DC33078}"/>
    <cellStyle name="Normal 8 2 2 2 2 2 8" xfId="9146" xr:uid="{0E570703-055D-406D-8BD9-575AF6037A75}"/>
    <cellStyle name="Normal 8 2 2 2 2 2 9" xfId="9957" xr:uid="{86560E90-2F52-4D31-B60D-407E3A0A2B6F}"/>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7EE77C82-68A8-4409-882D-3FF1AC23F417}"/>
    <cellStyle name="Normal 8 2 2 2 2 3 2 3" xfId="12514" xr:uid="{E7C4FF32-8601-4AB0-9F47-9BEEF6334898}"/>
    <cellStyle name="Normal 8 2 2 2 2 3 3" xfId="5260" xr:uid="{00000000-0005-0000-0000-00000E1C0000}"/>
    <cellStyle name="Normal 8 2 2 2 2 3 3 2" xfId="14586" xr:uid="{76ACEA96-A277-42F0-B9AE-F3632A27D74E}"/>
    <cellStyle name="Normal 8 2 2 2 2 3 4" xfId="9364" xr:uid="{21426B7C-FC96-483C-B560-AC4767107497}"/>
    <cellStyle name="Normal 8 2 2 2 2 3 5" xfId="10369" xr:uid="{ACF1F4FB-D224-404D-B0D9-BBE5A8E4E57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8B1BBFFD-2618-4683-885B-32F4325AEA3B}"/>
    <cellStyle name="Normal 8 2 2 2 2 4 2 3" xfId="12927" xr:uid="{7FA1D81F-5C85-454A-9504-771D93E18D4A}"/>
    <cellStyle name="Normal 8 2 2 2 2 4 3" xfId="5673" xr:uid="{00000000-0005-0000-0000-0000121C0000}"/>
    <cellStyle name="Normal 8 2 2 2 2 4 3 2" xfId="14999" xr:uid="{FD59CA09-169E-4809-933C-96A358906FF5}"/>
    <cellStyle name="Normal 8 2 2 2 2 4 4" xfId="10782" xr:uid="{D0321634-3960-4A4C-A231-94E01C92394B}"/>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4D28622A-422C-4922-9FDB-99D13F93CC01}"/>
    <cellStyle name="Normal 8 2 2 2 2 5 2 3" xfId="13340" xr:uid="{A012523E-BF92-4DA9-85FF-C1FA80094E43}"/>
    <cellStyle name="Normal 8 2 2 2 2 5 3" xfId="6086" xr:uid="{00000000-0005-0000-0000-0000161C0000}"/>
    <cellStyle name="Normal 8 2 2 2 2 5 3 2" xfId="15412" xr:uid="{50DA9669-FD22-4761-8D57-80083D7F87FA}"/>
    <cellStyle name="Normal 8 2 2 2 2 5 4" xfId="11195" xr:uid="{C8CF4C44-A9AC-48C7-B1AC-BA2BE50AF203}"/>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F6E94A8B-7D1A-4F13-9010-C39FCE18AD35}"/>
    <cellStyle name="Normal 8 2 2 2 2 6 2 3" xfId="13753" xr:uid="{56305AE1-9BBA-4544-B814-06ED3F7158F3}"/>
    <cellStyle name="Normal 8 2 2 2 2 6 3" xfId="6499" xr:uid="{00000000-0005-0000-0000-00001A1C0000}"/>
    <cellStyle name="Normal 8 2 2 2 2 6 3 2" xfId="15825" xr:uid="{B3D96BCE-F5AF-43C7-B347-19A583C93E7A}"/>
    <cellStyle name="Normal 8 2 2 2 2 6 4" xfId="11608" xr:uid="{9BB12AC0-A510-4010-B7C2-3B892CB0B79A}"/>
    <cellStyle name="Normal 8 2 2 2 2 7" xfId="2629" xr:uid="{00000000-0005-0000-0000-00001B1C0000}"/>
    <cellStyle name="Normal 8 2 2 2 2 7 2" xfId="6912" xr:uid="{00000000-0005-0000-0000-00001C1C0000}"/>
    <cellStyle name="Normal 8 2 2 2 2 7 2 2" xfId="16238" xr:uid="{4DD039DF-536B-4C89-973E-ECD3661B3497}"/>
    <cellStyle name="Normal 8 2 2 2 2 7 3" xfId="12021" xr:uid="{C678D967-DD38-4D0A-B508-5DB4FA58CA66}"/>
    <cellStyle name="Normal 8 2 2 2 2 8" xfId="4847" xr:uid="{00000000-0005-0000-0000-00001D1C0000}"/>
    <cellStyle name="Normal 8 2 2 2 2 8 2" xfId="14173" xr:uid="{3582C235-468C-4623-82B8-4D2C83AE1F5D}"/>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F51821A1-C3FD-4CFB-AACE-D6340BC5EFD9}"/>
    <cellStyle name="Normal 8 2 2 2 3 2 2 3" xfId="12516" xr:uid="{F1C78A4D-4774-4E1D-930E-27238425C871}"/>
    <cellStyle name="Normal 8 2 2 2 3 2 3" xfId="5262" xr:uid="{00000000-0005-0000-0000-0000221C0000}"/>
    <cellStyle name="Normal 8 2 2 2 3 2 3 2" xfId="14588" xr:uid="{7603EE74-543D-44E9-8C5B-7B0143653FB9}"/>
    <cellStyle name="Normal 8 2 2 2 3 2 4" xfId="9468" xr:uid="{8CC4AD0E-72B4-4935-8967-B171D7B5EF8D}"/>
    <cellStyle name="Normal 8 2 2 2 3 2 5" xfId="10371" xr:uid="{D34AF387-DE01-48D5-87F8-A50564E49F68}"/>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9D591E92-1438-47FA-800D-20FA123DEA3C}"/>
    <cellStyle name="Normal 8 2 2 2 3 3 2 3" xfId="12929" xr:uid="{9D5F619D-255E-4F0B-9114-BC9ABC6CABA9}"/>
    <cellStyle name="Normal 8 2 2 2 3 3 3" xfId="5675" xr:uid="{00000000-0005-0000-0000-0000261C0000}"/>
    <cellStyle name="Normal 8 2 2 2 3 3 3 2" xfId="15001" xr:uid="{F7630EC5-BB1F-49E3-AAD8-D1ACCA20018C}"/>
    <cellStyle name="Normal 8 2 2 2 3 3 4" xfId="10784" xr:uid="{5E589948-339B-46F1-8C97-2AF790425515}"/>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0C455CEE-68FB-4432-969F-234ED14E1F92}"/>
    <cellStyle name="Normal 8 2 2 2 3 4 2 3" xfId="13342" xr:uid="{D6BC5C3B-6763-4061-943A-D04855DB72A2}"/>
    <cellStyle name="Normal 8 2 2 2 3 4 3" xfId="6088" xr:uid="{00000000-0005-0000-0000-00002A1C0000}"/>
    <cellStyle name="Normal 8 2 2 2 3 4 3 2" xfId="15414" xr:uid="{37B0E3B7-A9D7-48D5-A63C-39E9687DDEAF}"/>
    <cellStyle name="Normal 8 2 2 2 3 4 4" xfId="11197" xr:uid="{444D0D9E-13B9-4825-95B3-EB179A567E8A}"/>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7EF75F17-755F-48AF-97B7-DD793C7B9C65}"/>
    <cellStyle name="Normal 8 2 2 2 3 5 2 3" xfId="13755" xr:uid="{63167733-9311-4E65-8472-12F153FF6D36}"/>
    <cellStyle name="Normal 8 2 2 2 3 5 3" xfId="6501" xr:uid="{00000000-0005-0000-0000-00002E1C0000}"/>
    <cellStyle name="Normal 8 2 2 2 3 5 3 2" xfId="15827" xr:uid="{ABF5CB6A-37BE-4D9E-B979-D5DB732E2AAE}"/>
    <cellStyle name="Normal 8 2 2 2 3 5 4" xfId="11610" xr:uid="{D75C1602-12F6-485C-9E77-8AE8094916E7}"/>
    <cellStyle name="Normal 8 2 2 2 3 6" xfId="2631" xr:uid="{00000000-0005-0000-0000-00002F1C0000}"/>
    <cellStyle name="Normal 8 2 2 2 3 6 2" xfId="6914" xr:uid="{00000000-0005-0000-0000-0000301C0000}"/>
    <cellStyle name="Normal 8 2 2 2 3 6 2 2" xfId="16240" xr:uid="{B8CCDB6F-9C8F-4FAD-87E1-70D49DAFBB8E}"/>
    <cellStyle name="Normal 8 2 2 2 3 6 3" xfId="12023" xr:uid="{74F3725C-7154-428D-BF9A-35C165C8480A}"/>
    <cellStyle name="Normal 8 2 2 2 3 7" xfId="4849" xr:uid="{00000000-0005-0000-0000-0000311C0000}"/>
    <cellStyle name="Normal 8 2 2 2 3 7 2" xfId="14175" xr:uid="{98C0DE8F-E4C2-4678-80F1-B8CE99D4FD3B}"/>
    <cellStyle name="Normal 8 2 2 2 3 8" xfId="9043" xr:uid="{BAC463DF-40A7-4F07-ADD3-7274E57F505C}"/>
    <cellStyle name="Normal 8 2 2 2 3 9" xfId="9958" xr:uid="{76E18FE2-1CDC-40B7-90D1-7CEABBFB3606}"/>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D1CF761B-B4F5-43FC-B23D-48B2716BBCFB}"/>
    <cellStyle name="Normal 8 2 2 2 4 2 3" xfId="12513" xr:uid="{5C2E60CA-A2E3-4213-806E-7371AAEAE82D}"/>
    <cellStyle name="Normal 8 2 2 2 4 3" xfId="5259" xr:uid="{00000000-0005-0000-0000-0000351C0000}"/>
    <cellStyle name="Normal 8 2 2 2 4 3 2" xfId="14585" xr:uid="{EF759A1A-C638-445D-99D5-B9EC117CBAE0}"/>
    <cellStyle name="Normal 8 2 2 2 4 4" xfId="9261" xr:uid="{70C29865-A6DE-4682-9EB1-83E4E07FD0A7}"/>
    <cellStyle name="Normal 8 2 2 2 4 5" xfId="10368" xr:uid="{859FA2F2-E9E9-46F2-8B4B-00F51127FD3A}"/>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4CEF2584-D05C-49BC-99C1-4912B177B6B9}"/>
    <cellStyle name="Normal 8 2 2 2 5 2 3" xfId="12926" xr:uid="{63B212AB-5E09-4FD3-9F56-B664A2655F70}"/>
    <cellStyle name="Normal 8 2 2 2 5 3" xfId="5672" xr:uid="{00000000-0005-0000-0000-0000391C0000}"/>
    <cellStyle name="Normal 8 2 2 2 5 3 2" xfId="14998" xr:uid="{51E90470-94DA-4124-9458-83C4E974D7D3}"/>
    <cellStyle name="Normal 8 2 2 2 5 4" xfId="10781" xr:uid="{619D1B5D-32F0-48AB-B3F0-4DF90781FBF1}"/>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10CC54FC-E62E-4576-A81D-CF1B469CF7B4}"/>
    <cellStyle name="Normal 8 2 2 2 6 2 3" xfId="13339" xr:uid="{B7913DD7-91C5-496B-BA10-A53839EA67E4}"/>
    <cellStyle name="Normal 8 2 2 2 6 3" xfId="6085" xr:uid="{00000000-0005-0000-0000-00003D1C0000}"/>
    <cellStyle name="Normal 8 2 2 2 6 3 2" xfId="15411" xr:uid="{F9258ED0-CEFF-4E24-A4BC-374A1E484880}"/>
    <cellStyle name="Normal 8 2 2 2 6 4" xfId="11194" xr:uid="{E6B5A674-3FAD-405E-821E-55802EEADACA}"/>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D846F135-4FF1-4FE0-A4B1-9319042276BC}"/>
    <cellStyle name="Normal 8 2 2 2 7 2 3" xfId="13752" xr:uid="{9DFAB8DD-5740-4726-830A-8C698CA1425D}"/>
    <cellStyle name="Normal 8 2 2 2 7 3" xfId="6498" xr:uid="{00000000-0005-0000-0000-0000411C0000}"/>
    <cellStyle name="Normal 8 2 2 2 7 3 2" xfId="15824" xr:uid="{395D984A-C036-48E8-9D63-5D9FA85C6478}"/>
    <cellStyle name="Normal 8 2 2 2 7 4" xfId="11607" xr:uid="{10A27CC1-042F-48BD-B489-1FFB3271DA51}"/>
    <cellStyle name="Normal 8 2 2 2 8" xfId="2628" xr:uid="{00000000-0005-0000-0000-0000421C0000}"/>
    <cellStyle name="Normal 8 2 2 2 8 2" xfId="6911" xr:uid="{00000000-0005-0000-0000-0000431C0000}"/>
    <cellStyle name="Normal 8 2 2 2 8 2 2" xfId="16237" xr:uid="{DAA1E587-5A91-4B4A-BD72-F0CA9B6ECC32}"/>
    <cellStyle name="Normal 8 2 2 2 8 3" xfId="12020" xr:uid="{DF759A0A-440A-4DEA-A255-BD8FD0299E6A}"/>
    <cellStyle name="Normal 8 2 2 2 9" xfId="4846" xr:uid="{00000000-0005-0000-0000-0000441C0000}"/>
    <cellStyle name="Normal 8 2 2 2 9 2" xfId="14172" xr:uid="{CA14E27B-9249-4B9B-ADDD-9346EED90DE5}"/>
    <cellStyle name="Normal 8 2 2 3" xfId="485" xr:uid="{00000000-0005-0000-0000-0000451C0000}"/>
    <cellStyle name="Normal 8 2 2 3 10" xfId="9959" xr:uid="{DAD51093-1D44-409C-BACB-D1C293AF3098}"/>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DC791F9A-6879-4CF0-A972-D06925AC0160}"/>
    <cellStyle name="Normal 8 2 2 3 2 2 2 3" xfId="12518" xr:uid="{1305F7C2-748D-4E9F-9D8D-E14C6CEF1C1B}"/>
    <cellStyle name="Normal 8 2 2 3 2 2 3" xfId="5264" xr:uid="{00000000-0005-0000-0000-00004A1C0000}"/>
    <cellStyle name="Normal 8 2 2 3 2 2 3 2" xfId="14590" xr:uid="{02080E60-8E02-4AEF-86BF-ED558C16F89C}"/>
    <cellStyle name="Normal 8 2 2 3 2 2 4" xfId="9518" xr:uid="{FDE93D5E-A6D1-456B-8726-FC2AB8FD16A4}"/>
    <cellStyle name="Normal 8 2 2 3 2 2 5" xfId="10373" xr:uid="{E0797FF4-E591-4D04-8D1B-75AA2A727E8E}"/>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F033641E-5703-4C6B-B6E2-461AE65C2285}"/>
    <cellStyle name="Normal 8 2 2 3 2 3 2 3" xfId="12931" xr:uid="{AFEE0D6E-DCB3-4A09-9147-BCCF779B8E40}"/>
    <cellStyle name="Normal 8 2 2 3 2 3 3" xfId="5677" xr:uid="{00000000-0005-0000-0000-00004E1C0000}"/>
    <cellStyle name="Normal 8 2 2 3 2 3 3 2" xfId="15003" xr:uid="{7A5333DB-0753-41FB-819C-F01F2AA8E881}"/>
    <cellStyle name="Normal 8 2 2 3 2 3 4" xfId="10786" xr:uid="{F36E79F6-97AF-410E-A6DD-1910E3AA080D}"/>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8907499C-B180-4841-9A77-7A659467C156}"/>
    <cellStyle name="Normal 8 2 2 3 2 4 2 3" xfId="13344" xr:uid="{7E42A51C-D2D2-4BFE-A43E-50A471BD8FA7}"/>
    <cellStyle name="Normal 8 2 2 3 2 4 3" xfId="6090" xr:uid="{00000000-0005-0000-0000-0000521C0000}"/>
    <cellStyle name="Normal 8 2 2 3 2 4 3 2" xfId="15416" xr:uid="{7F155907-A17F-4F2F-ABF2-5B1C54F1424D}"/>
    <cellStyle name="Normal 8 2 2 3 2 4 4" xfId="11199" xr:uid="{B22784F0-6938-4B47-93C4-25A61DCB0CB5}"/>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C9D192F3-4238-4EBF-B02A-FAE10995CF66}"/>
    <cellStyle name="Normal 8 2 2 3 2 5 2 3" xfId="13757" xr:uid="{CACC7A7A-F316-4FBE-819A-9DCB587CCAD6}"/>
    <cellStyle name="Normal 8 2 2 3 2 5 3" xfId="6503" xr:uid="{00000000-0005-0000-0000-0000561C0000}"/>
    <cellStyle name="Normal 8 2 2 3 2 5 3 2" xfId="15829" xr:uid="{2277EF2A-E130-4E7B-B9B9-5998E03EA4C4}"/>
    <cellStyle name="Normal 8 2 2 3 2 5 4" xfId="11612" xr:uid="{2218CEF1-7C64-4682-A6D3-B703B5F0C038}"/>
    <cellStyle name="Normal 8 2 2 3 2 6" xfId="2633" xr:uid="{00000000-0005-0000-0000-0000571C0000}"/>
    <cellStyle name="Normal 8 2 2 3 2 6 2" xfId="6916" xr:uid="{00000000-0005-0000-0000-0000581C0000}"/>
    <cellStyle name="Normal 8 2 2 3 2 6 2 2" xfId="16242" xr:uid="{22693B84-1863-4139-8AE7-05D8BAB4D961}"/>
    <cellStyle name="Normal 8 2 2 3 2 6 3" xfId="12025" xr:uid="{457E673F-D138-4E2A-A486-B4E7A7DD0BD5}"/>
    <cellStyle name="Normal 8 2 2 3 2 7" xfId="4851" xr:uid="{00000000-0005-0000-0000-0000591C0000}"/>
    <cellStyle name="Normal 8 2 2 3 2 7 2" xfId="14177" xr:uid="{ADBE343F-B0C2-4CBD-9BF9-E012439E2023}"/>
    <cellStyle name="Normal 8 2 2 3 2 8" xfId="9093" xr:uid="{ADE34C72-BCCB-477C-B66A-BE7159CEB281}"/>
    <cellStyle name="Normal 8 2 2 3 2 9" xfId="9960" xr:uid="{6A833A53-8127-4FEF-9B4E-CC80327C108E}"/>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EE7F32F3-0B10-4A87-84A9-ED5789139E46}"/>
    <cellStyle name="Normal 8 2 2 3 3 2 3" xfId="12517" xr:uid="{D32CD00E-C46D-465F-BCD1-C8D60A440B58}"/>
    <cellStyle name="Normal 8 2 2 3 3 3" xfId="5263" xr:uid="{00000000-0005-0000-0000-00005D1C0000}"/>
    <cellStyle name="Normal 8 2 2 3 3 3 2" xfId="14589" xr:uid="{4D7CF5DA-AB48-4FA5-9C9E-64F33C461C8B}"/>
    <cellStyle name="Normal 8 2 2 3 3 4" xfId="9311" xr:uid="{F4618F1E-1235-4269-B5C6-B09BE5034F6C}"/>
    <cellStyle name="Normal 8 2 2 3 3 5" xfId="10372" xr:uid="{77D36A3A-CDDE-4E99-9501-4D20E5FEB83A}"/>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943B9030-B759-42DE-AFA2-B0B4AF751FD1}"/>
    <cellStyle name="Normal 8 2 2 3 4 2 3" xfId="12930" xr:uid="{03FC022A-558B-4480-9966-1221609AFADB}"/>
    <cellStyle name="Normal 8 2 2 3 4 3" xfId="5676" xr:uid="{00000000-0005-0000-0000-0000611C0000}"/>
    <cellStyle name="Normal 8 2 2 3 4 3 2" xfId="15002" xr:uid="{9041D527-F169-43B9-A7E2-4DE0BB36BFC3}"/>
    <cellStyle name="Normal 8 2 2 3 4 4" xfId="10785" xr:uid="{67C01004-7C6F-4950-AEB7-98ABFAEBAA5D}"/>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5787D173-F80D-4F4F-8CA8-463D9FF4A836}"/>
    <cellStyle name="Normal 8 2 2 3 5 2 3" xfId="13343" xr:uid="{084008F9-138F-4236-9666-711AB56E5F11}"/>
    <cellStyle name="Normal 8 2 2 3 5 3" xfId="6089" xr:uid="{00000000-0005-0000-0000-0000651C0000}"/>
    <cellStyle name="Normal 8 2 2 3 5 3 2" xfId="15415" xr:uid="{B90EC297-6CDD-42C0-9A15-9F4630D4475B}"/>
    <cellStyle name="Normal 8 2 2 3 5 4" xfId="11198" xr:uid="{FF5BA341-8AFE-4DAD-BF30-856778E9FDE6}"/>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B2EFD50A-7857-45A2-B5E0-8F5737650F97}"/>
    <cellStyle name="Normal 8 2 2 3 6 2 3" xfId="13756" xr:uid="{CDDCBA24-C7B2-47EE-A798-BA4E9D19B9A3}"/>
    <cellStyle name="Normal 8 2 2 3 6 3" xfId="6502" xr:uid="{00000000-0005-0000-0000-0000691C0000}"/>
    <cellStyle name="Normal 8 2 2 3 6 3 2" xfId="15828" xr:uid="{F3CAE412-0028-490C-834B-24AF64242900}"/>
    <cellStyle name="Normal 8 2 2 3 6 4" xfId="11611" xr:uid="{F99D56F5-7B43-4420-A66A-3C27504D1ADA}"/>
    <cellStyle name="Normal 8 2 2 3 7" xfId="2632" xr:uid="{00000000-0005-0000-0000-00006A1C0000}"/>
    <cellStyle name="Normal 8 2 2 3 7 2" xfId="6915" xr:uid="{00000000-0005-0000-0000-00006B1C0000}"/>
    <cellStyle name="Normal 8 2 2 3 7 2 2" xfId="16241" xr:uid="{51F30421-0BD6-40F9-BA61-33D5F3EE0AD3}"/>
    <cellStyle name="Normal 8 2 2 3 7 3" xfId="12024" xr:uid="{47A54A1D-538E-4316-B3EB-C7526BF79F6D}"/>
    <cellStyle name="Normal 8 2 2 3 8" xfId="4850" xr:uid="{00000000-0005-0000-0000-00006C1C0000}"/>
    <cellStyle name="Normal 8 2 2 3 8 2" xfId="14176" xr:uid="{8809EC0D-3770-40C8-BF72-B731A580E13B}"/>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B5E26626-1970-4971-9487-E8E1C8ADE5C4}"/>
    <cellStyle name="Normal 8 2 2 4 2 2 3" xfId="12519" xr:uid="{F260BA3B-DABC-4045-A762-14D6DE09C733}"/>
    <cellStyle name="Normal 8 2 2 4 2 3" xfId="5265" xr:uid="{00000000-0005-0000-0000-0000711C0000}"/>
    <cellStyle name="Normal 8 2 2 4 2 3 2" xfId="14591" xr:uid="{B3470647-1FB1-441D-AD95-09C74EE3441A}"/>
    <cellStyle name="Normal 8 2 2 4 2 4" xfId="9415" xr:uid="{88D7FF95-DEA9-4369-BE01-487FC7B2B7E8}"/>
    <cellStyle name="Normal 8 2 2 4 2 5" xfId="10374" xr:uid="{3950A683-2548-4947-BD68-D181F39A8B03}"/>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3AE0FE9E-563F-4657-84B6-E836829E70F1}"/>
    <cellStyle name="Normal 8 2 2 4 3 2 3" xfId="12932" xr:uid="{2CC70C60-A64A-4B93-917B-51A81C9FDB1C}"/>
    <cellStyle name="Normal 8 2 2 4 3 3" xfId="5678" xr:uid="{00000000-0005-0000-0000-0000751C0000}"/>
    <cellStyle name="Normal 8 2 2 4 3 3 2" xfId="15004" xr:uid="{D8AF2BF6-729D-4F15-BAA6-405E5CCCCE0C}"/>
    <cellStyle name="Normal 8 2 2 4 3 4" xfId="10787" xr:uid="{F8E01689-B424-46F9-8FB9-70970EFFB003}"/>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A98DE19C-F07C-4343-9352-45387DA1F32E}"/>
    <cellStyle name="Normal 8 2 2 4 4 2 3" xfId="13345" xr:uid="{7334EBD8-6CF7-4E1C-A30F-4EFB1E5DCE5F}"/>
    <cellStyle name="Normal 8 2 2 4 4 3" xfId="6091" xr:uid="{00000000-0005-0000-0000-0000791C0000}"/>
    <cellStyle name="Normal 8 2 2 4 4 3 2" xfId="15417" xr:uid="{540DC242-885A-4071-8943-014447F39455}"/>
    <cellStyle name="Normal 8 2 2 4 4 4" xfId="11200" xr:uid="{5BDE9B0A-9E36-4449-8C62-076CCA228A7A}"/>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92242A75-D704-4023-8CBB-BCE2CFB472F2}"/>
    <cellStyle name="Normal 8 2 2 4 5 2 3" xfId="13758" xr:uid="{0A98672B-3E94-45B6-93CF-6A7AE11052DE}"/>
    <cellStyle name="Normal 8 2 2 4 5 3" xfId="6504" xr:uid="{00000000-0005-0000-0000-00007D1C0000}"/>
    <cellStyle name="Normal 8 2 2 4 5 3 2" xfId="15830" xr:uid="{E5216F11-E864-40C6-A928-B8EE29F5D2E8}"/>
    <cellStyle name="Normal 8 2 2 4 5 4" xfId="11613" xr:uid="{2677AA4A-7417-4F12-A190-BD15F941DAE6}"/>
    <cellStyle name="Normal 8 2 2 4 6" xfId="2634" xr:uid="{00000000-0005-0000-0000-00007E1C0000}"/>
    <cellStyle name="Normal 8 2 2 4 6 2" xfId="6917" xr:uid="{00000000-0005-0000-0000-00007F1C0000}"/>
    <cellStyle name="Normal 8 2 2 4 6 2 2" xfId="16243" xr:uid="{089709CD-7D89-478C-ABFF-3BC681AA6A72}"/>
    <cellStyle name="Normal 8 2 2 4 6 3" xfId="12026" xr:uid="{39FE78F4-0A4A-4A8E-A3EC-5F782EA7E4AE}"/>
    <cellStyle name="Normal 8 2 2 4 7" xfId="4852" xr:uid="{00000000-0005-0000-0000-0000801C0000}"/>
    <cellStyle name="Normal 8 2 2 4 7 2" xfId="14178" xr:uid="{12D09596-7B7F-43F8-946C-1863441AD686}"/>
    <cellStyle name="Normal 8 2 2 4 8" xfId="8990" xr:uid="{F08D85C9-EB04-4227-BEA0-1B51DDB63DFA}"/>
    <cellStyle name="Normal 8 2 2 4 9" xfId="9961" xr:uid="{ACC6F2D2-3FE5-418E-8067-CE4551C97E57}"/>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2003B878-FEBC-43C8-9B69-3229CE628C14}"/>
    <cellStyle name="Normal 8 2 2 5 2 3" xfId="12512" xr:uid="{4665F8DF-CB48-4E55-AC3B-FF4B5ACB3D09}"/>
    <cellStyle name="Normal 8 2 2 5 3" xfId="5258" xr:uid="{00000000-0005-0000-0000-0000841C0000}"/>
    <cellStyle name="Normal 8 2 2 5 3 2" xfId="14584" xr:uid="{659270E3-0F11-4B90-BEA0-B598E4BC3EA9}"/>
    <cellStyle name="Normal 8 2 2 5 4" xfId="9207" xr:uid="{D4CDC4D2-5794-400F-B850-1B259D26C1FE}"/>
    <cellStyle name="Normal 8 2 2 5 5" xfId="10367" xr:uid="{65B58FAE-8DA7-4CE4-B240-B5DB9BC1355E}"/>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05B32F33-91A5-429A-974B-02E87043BA51}"/>
    <cellStyle name="Normal 8 2 2 6 2 3" xfId="12925" xr:uid="{80079931-64D9-4CEE-BA21-0AECF212D12A}"/>
    <cellStyle name="Normal 8 2 2 6 3" xfId="5671" xr:uid="{00000000-0005-0000-0000-0000881C0000}"/>
    <cellStyle name="Normal 8 2 2 6 3 2" xfId="14997" xr:uid="{FFAF3284-6B00-4C75-B888-BC8B2D643423}"/>
    <cellStyle name="Normal 8 2 2 6 4" xfId="10780" xr:uid="{3CC142D1-0E19-4B95-B4A7-A07A2E1AC0CA}"/>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55109E2E-40FB-439B-8D7F-CDEA5B7AF739}"/>
    <cellStyle name="Normal 8 2 2 7 2 3" xfId="13338" xr:uid="{EE0E3CDD-7E50-4473-A112-2D84BBFC57B3}"/>
    <cellStyle name="Normal 8 2 2 7 3" xfId="6084" xr:uid="{00000000-0005-0000-0000-00008C1C0000}"/>
    <cellStyle name="Normal 8 2 2 7 3 2" xfId="15410" xr:uid="{E1C5697F-BB0A-4163-8ADF-707EF5A3DCFF}"/>
    <cellStyle name="Normal 8 2 2 7 4" xfId="11193" xr:uid="{0ACA943B-EF4A-42AD-8907-A95681784F79}"/>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1FCC2E00-8481-4418-98B5-57ACE5023E4F}"/>
    <cellStyle name="Normal 8 2 2 8 2 3" xfId="13751" xr:uid="{95FAEB1F-9F89-4195-8432-9B105CCE4AEE}"/>
    <cellStyle name="Normal 8 2 2 8 3" xfId="6497" xr:uid="{00000000-0005-0000-0000-0000901C0000}"/>
    <cellStyle name="Normal 8 2 2 8 3 2" xfId="15823" xr:uid="{F9E80DCF-1A46-4979-A7C6-2941F28AF91E}"/>
    <cellStyle name="Normal 8 2 2 8 4" xfId="11606" xr:uid="{C865B968-AF36-4588-A73B-2DD9E12B44E2}"/>
    <cellStyle name="Normal 8 2 2 9" xfId="2627" xr:uid="{00000000-0005-0000-0000-0000911C0000}"/>
    <cellStyle name="Normal 8 2 2 9 2" xfId="6910" xr:uid="{00000000-0005-0000-0000-0000921C0000}"/>
    <cellStyle name="Normal 8 2 2 9 2 2" xfId="16236" xr:uid="{977C2936-ECDA-43DB-975F-688E7E31AC4B}"/>
    <cellStyle name="Normal 8 2 2 9 3" xfId="12019" xr:uid="{E64267E3-DB61-4629-AD8F-8D11B78319D9}"/>
    <cellStyle name="Normal 8 2 3" xfId="488" xr:uid="{00000000-0005-0000-0000-0000931C0000}"/>
    <cellStyle name="Normal 8 2 3 10" xfId="8835" xr:uid="{2F0FB8B3-D08B-41EB-93AB-2D83A1BD6036}"/>
    <cellStyle name="Normal 8 2 3 11" xfId="9962" xr:uid="{9EDDF5E1-D839-4138-984C-CD904C3CEC8A}"/>
    <cellStyle name="Normal 8 2 3 2" xfId="489" xr:uid="{00000000-0005-0000-0000-0000941C0000}"/>
    <cellStyle name="Normal 8 2 3 2 10" xfId="9963" xr:uid="{833E0179-CD22-4179-8EBB-87D8DC380D61}"/>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381A4CB7-1E2F-49CB-8002-E3696960E2AF}"/>
    <cellStyle name="Normal 8 2 3 2 2 2 2 3" xfId="12522" xr:uid="{C823FC0D-2E55-4E09-9515-06AA9615FED6}"/>
    <cellStyle name="Normal 8 2 3 2 2 2 3" xfId="5268" xr:uid="{00000000-0005-0000-0000-0000991C0000}"/>
    <cellStyle name="Normal 8 2 3 2 2 2 3 2" xfId="14594" xr:uid="{8483025A-AC61-4817-AD6E-0D17260C26BC}"/>
    <cellStyle name="Normal 8 2 3 2 2 2 4" xfId="9570" xr:uid="{BA9732E0-D9E4-47DB-882D-D871A821FA55}"/>
    <cellStyle name="Normal 8 2 3 2 2 2 5" xfId="10377" xr:uid="{AAF37FDB-92FF-4789-A328-80CB77756F86}"/>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F1274549-2811-4FC9-8F51-203515F6017C}"/>
    <cellStyle name="Normal 8 2 3 2 2 3 2 3" xfId="12935" xr:uid="{A42F55D9-0114-4415-8F15-D7F085CB450E}"/>
    <cellStyle name="Normal 8 2 3 2 2 3 3" xfId="5681" xr:uid="{00000000-0005-0000-0000-00009D1C0000}"/>
    <cellStyle name="Normal 8 2 3 2 2 3 3 2" xfId="15007" xr:uid="{0AE4409E-DDD6-4A79-B4F6-8ABD15A6CF51}"/>
    <cellStyle name="Normal 8 2 3 2 2 3 4" xfId="10790" xr:uid="{F28E3D2C-88DA-4811-A9DC-24DF75D837F8}"/>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D3F4E21D-6175-4135-8D52-67A75003EE46}"/>
    <cellStyle name="Normal 8 2 3 2 2 4 2 3" xfId="13348" xr:uid="{A75C9B95-E69F-40DC-8C7B-3C1F99378F0E}"/>
    <cellStyle name="Normal 8 2 3 2 2 4 3" xfId="6094" xr:uid="{00000000-0005-0000-0000-0000A11C0000}"/>
    <cellStyle name="Normal 8 2 3 2 2 4 3 2" xfId="15420" xr:uid="{A9EF03AF-3CC9-4FA3-A034-E3AFFB298A3F}"/>
    <cellStyle name="Normal 8 2 3 2 2 4 4" xfId="11203" xr:uid="{BE9C161B-A971-4151-B60F-0F3E8FFDBCE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9791A5BE-069A-48DF-ADFC-16753D6778AB}"/>
    <cellStyle name="Normal 8 2 3 2 2 5 2 3" xfId="13761" xr:uid="{7594E196-00BA-40E6-9C8E-F176A4372E70}"/>
    <cellStyle name="Normal 8 2 3 2 2 5 3" xfId="6507" xr:uid="{00000000-0005-0000-0000-0000A51C0000}"/>
    <cellStyle name="Normal 8 2 3 2 2 5 3 2" xfId="15833" xr:uid="{1770F511-C668-486F-8BF7-3B14B8DC8808}"/>
    <cellStyle name="Normal 8 2 3 2 2 5 4" xfId="11616" xr:uid="{150089DA-D21D-44F1-894B-C9E00D0EBC45}"/>
    <cellStyle name="Normal 8 2 3 2 2 6" xfId="2637" xr:uid="{00000000-0005-0000-0000-0000A61C0000}"/>
    <cellStyle name="Normal 8 2 3 2 2 6 2" xfId="6920" xr:uid="{00000000-0005-0000-0000-0000A71C0000}"/>
    <cellStyle name="Normal 8 2 3 2 2 6 2 2" xfId="16246" xr:uid="{B033B348-E940-47D1-AC04-99D35EDF8413}"/>
    <cellStyle name="Normal 8 2 3 2 2 6 3" xfId="12029" xr:uid="{514FE853-DAF5-4AAB-A92D-6CF6F0601BA2}"/>
    <cellStyle name="Normal 8 2 3 2 2 7" xfId="4855" xr:uid="{00000000-0005-0000-0000-0000A81C0000}"/>
    <cellStyle name="Normal 8 2 3 2 2 7 2" xfId="14181" xr:uid="{D3E7FAA4-73EF-4898-91C2-CA9E9CAD555A}"/>
    <cellStyle name="Normal 8 2 3 2 2 8" xfId="9145" xr:uid="{C71E6005-187D-4837-92B4-619AF06B3A3B}"/>
    <cellStyle name="Normal 8 2 3 2 2 9" xfId="9964" xr:uid="{8CCAF20E-6B18-4B49-A5E5-06C4AF477E4C}"/>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1274291F-9ACD-4F7E-A117-704CA5E0D098}"/>
    <cellStyle name="Normal 8 2 3 2 3 2 3" xfId="12521" xr:uid="{8D5B81EE-F0B5-4B90-B800-1F760A5EE1BB}"/>
    <cellStyle name="Normal 8 2 3 2 3 3" xfId="5267" xr:uid="{00000000-0005-0000-0000-0000AC1C0000}"/>
    <cellStyle name="Normal 8 2 3 2 3 3 2" xfId="14593" xr:uid="{E92F8E08-1BCC-4B17-A083-41C0E0EE1611}"/>
    <cellStyle name="Normal 8 2 3 2 3 4" xfId="9363" xr:uid="{C94C6C98-A8BC-4AC9-B084-0D2219E89AA8}"/>
    <cellStyle name="Normal 8 2 3 2 3 5" xfId="10376" xr:uid="{A0EF6946-E916-46E2-88F7-C90EFB42C405}"/>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9E25418C-932F-4627-8F7A-053860577338}"/>
    <cellStyle name="Normal 8 2 3 2 4 2 3" xfId="12934" xr:uid="{8FEC43E8-4999-45A0-BEF6-1887D5A7BF98}"/>
    <cellStyle name="Normal 8 2 3 2 4 3" xfId="5680" xr:uid="{00000000-0005-0000-0000-0000B01C0000}"/>
    <cellStyle name="Normal 8 2 3 2 4 3 2" xfId="15006" xr:uid="{AE0E369E-7720-4708-9329-E05FB3600A10}"/>
    <cellStyle name="Normal 8 2 3 2 4 4" xfId="10789" xr:uid="{13D67565-E88B-4521-9A98-F635BFDC7165}"/>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8AA95048-6DE9-4401-902C-78E932B79853}"/>
    <cellStyle name="Normal 8 2 3 2 5 2 3" xfId="13347" xr:uid="{F2B4A8F8-0716-499C-B819-34630AAA1340}"/>
    <cellStyle name="Normal 8 2 3 2 5 3" xfId="6093" xr:uid="{00000000-0005-0000-0000-0000B41C0000}"/>
    <cellStyle name="Normal 8 2 3 2 5 3 2" xfId="15419" xr:uid="{78E4C464-EC6B-4BE7-8C8E-8491ECE2DC4A}"/>
    <cellStyle name="Normal 8 2 3 2 5 4" xfId="11202" xr:uid="{47DB5F3B-D7BE-4C6E-A25B-DB9B37723DB1}"/>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EDC4BAEB-7F94-4395-9949-27EB523F3314}"/>
    <cellStyle name="Normal 8 2 3 2 6 2 3" xfId="13760" xr:uid="{71F33F08-86B0-4BEB-AE42-2EB63ED8C3A2}"/>
    <cellStyle name="Normal 8 2 3 2 6 3" xfId="6506" xr:uid="{00000000-0005-0000-0000-0000B81C0000}"/>
    <cellStyle name="Normal 8 2 3 2 6 3 2" xfId="15832" xr:uid="{E395B818-3DEF-4196-AA21-D0C5C1429BAA}"/>
    <cellStyle name="Normal 8 2 3 2 6 4" xfId="11615" xr:uid="{42B54582-8DA9-4594-BE95-2318EABCAEAE}"/>
    <cellStyle name="Normal 8 2 3 2 7" xfId="2636" xr:uid="{00000000-0005-0000-0000-0000B91C0000}"/>
    <cellStyle name="Normal 8 2 3 2 7 2" xfId="6919" xr:uid="{00000000-0005-0000-0000-0000BA1C0000}"/>
    <cellStyle name="Normal 8 2 3 2 7 2 2" xfId="16245" xr:uid="{ACE78065-53A5-4E7A-8DCF-098DC2D09C9C}"/>
    <cellStyle name="Normal 8 2 3 2 7 3" xfId="12028" xr:uid="{B04F04B8-BF86-48B7-A5B9-E08CC6CFB80D}"/>
    <cellStyle name="Normal 8 2 3 2 8" xfId="4854" xr:uid="{00000000-0005-0000-0000-0000BB1C0000}"/>
    <cellStyle name="Normal 8 2 3 2 8 2" xfId="14180" xr:uid="{4E5EF0CF-DA22-42F2-9D1B-8DD7F059A57A}"/>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C66A837A-79A6-4305-9044-AF9A2610EA40}"/>
    <cellStyle name="Normal 8 2 3 3 2 2 3" xfId="12523" xr:uid="{CB835F88-E4D2-44F3-BD55-0E6C85D45A24}"/>
    <cellStyle name="Normal 8 2 3 3 2 3" xfId="5269" xr:uid="{00000000-0005-0000-0000-0000C01C0000}"/>
    <cellStyle name="Normal 8 2 3 3 2 3 2" xfId="14595" xr:uid="{6F0CFF7F-3ADC-4887-A32F-59ED28851181}"/>
    <cellStyle name="Normal 8 2 3 3 2 4" xfId="9467" xr:uid="{C16001D7-8508-4511-808F-E990F8EA0FE3}"/>
    <cellStyle name="Normal 8 2 3 3 2 5" xfId="10378" xr:uid="{EC9FC2A2-27B3-45FB-A9D4-CCFC64D27E6D}"/>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E6C3195F-6F38-463B-A62B-723C30EB78B4}"/>
    <cellStyle name="Normal 8 2 3 3 3 2 3" xfId="12936" xr:uid="{0025FBFD-1E22-48A8-8FB2-9C27D47700AB}"/>
    <cellStyle name="Normal 8 2 3 3 3 3" xfId="5682" xr:uid="{00000000-0005-0000-0000-0000C41C0000}"/>
    <cellStyle name="Normal 8 2 3 3 3 3 2" xfId="15008" xr:uid="{B78CA24C-010C-4037-A582-858EAF13102B}"/>
    <cellStyle name="Normal 8 2 3 3 3 4" xfId="10791" xr:uid="{83B791BD-0875-4A5F-BC31-173C94E6CD92}"/>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632E9B50-0595-47DE-8136-1F8E317C618A}"/>
    <cellStyle name="Normal 8 2 3 3 4 2 3" xfId="13349" xr:uid="{CBB3898F-D51A-467C-85A9-A9E956618823}"/>
    <cellStyle name="Normal 8 2 3 3 4 3" xfId="6095" xr:uid="{00000000-0005-0000-0000-0000C81C0000}"/>
    <cellStyle name="Normal 8 2 3 3 4 3 2" xfId="15421" xr:uid="{2CBA4B01-9C14-458B-A2BD-4B87B6D4F29B}"/>
    <cellStyle name="Normal 8 2 3 3 4 4" xfId="11204" xr:uid="{733D419A-570C-41C0-97EA-6F1AD34B5CFA}"/>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D2AADCCE-7FE8-4758-A7E8-CCB78E860B17}"/>
    <cellStyle name="Normal 8 2 3 3 5 2 3" xfId="13762" xr:uid="{5B902178-E107-4E4C-9E98-7FD41237DA31}"/>
    <cellStyle name="Normal 8 2 3 3 5 3" xfId="6508" xr:uid="{00000000-0005-0000-0000-0000CC1C0000}"/>
    <cellStyle name="Normal 8 2 3 3 5 3 2" xfId="15834" xr:uid="{7741FFDD-6ECA-4CC3-B773-F7E8FCE6EB85}"/>
    <cellStyle name="Normal 8 2 3 3 5 4" xfId="11617" xr:uid="{1E3C2051-2CA0-4B53-B298-B292B80337D2}"/>
    <cellStyle name="Normal 8 2 3 3 6" xfId="2638" xr:uid="{00000000-0005-0000-0000-0000CD1C0000}"/>
    <cellStyle name="Normal 8 2 3 3 6 2" xfId="6921" xr:uid="{00000000-0005-0000-0000-0000CE1C0000}"/>
    <cellStyle name="Normal 8 2 3 3 6 2 2" xfId="16247" xr:uid="{A95D06AE-B160-47F7-A0F1-C34D0B9100FE}"/>
    <cellStyle name="Normal 8 2 3 3 6 3" xfId="12030" xr:uid="{50011ABE-BA3A-44C5-A972-CA2329880FBF}"/>
    <cellStyle name="Normal 8 2 3 3 7" xfId="4856" xr:uid="{00000000-0005-0000-0000-0000CF1C0000}"/>
    <cellStyle name="Normal 8 2 3 3 7 2" xfId="14182" xr:uid="{7EC3CA40-DD12-40AA-875E-4140EFEB7694}"/>
    <cellStyle name="Normal 8 2 3 3 8" xfId="9042" xr:uid="{D820ED39-BAB1-48C1-A68D-2017E247E432}"/>
    <cellStyle name="Normal 8 2 3 3 9" xfId="9965" xr:uid="{FFFF17AB-103D-4377-9AB7-678115B2E56A}"/>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29B3F1B7-D500-4306-BAEC-25BEA27A47A7}"/>
    <cellStyle name="Normal 8 2 3 4 2 3" xfId="12520" xr:uid="{1A90E6FA-4D49-4E88-AF1C-2AC4DE1F26B7}"/>
    <cellStyle name="Normal 8 2 3 4 3" xfId="5266" xr:uid="{00000000-0005-0000-0000-0000D31C0000}"/>
    <cellStyle name="Normal 8 2 3 4 3 2" xfId="14592" xr:uid="{04F0BE29-96FD-439B-951D-311519589902}"/>
    <cellStyle name="Normal 8 2 3 4 4" xfId="9260" xr:uid="{70FF5A16-C89A-42B7-A603-E23A7C2F443C}"/>
    <cellStyle name="Normal 8 2 3 4 5" xfId="10375" xr:uid="{3997912C-E6F8-4112-850F-4C4292123769}"/>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88D62268-70D2-4B4E-B242-DA1516D34FD1}"/>
    <cellStyle name="Normal 8 2 3 5 2 3" xfId="12933" xr:uid="{4FFEBF41-AF04-44F9-8E8D-B2FEA6DD3879}"/>
    <cellStyle name="Normal 8 2 3 5 3" xfId="5679" xr:uid="{00000000-0005-0000-0000-0000D71C0000}"/>
    <cellStyle name="Normal 8 2 3 5 3 2" xfId="15005" xr:uid="{AF4B3D21-7E3D-479C-8A0C-FBBA6AF46887}"/>
    <cellStyle name="Normal 8 2 3 5 4" xfId="10788" xr:uid="{0C32D85F-8D38-4DA2-963F-BBF3C175C330}"/>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94E76C54-0BC0-4384-B31F-A94D483DF489}"/>
    <cellStyle name="Normal 8 2 3 6 2 3" xfId="13346" xr:uid="{8ED973CA-C593-48D4-B7B9-6EF84E9CD8BF}"/>
    <cellStyle name="Normal 8 2 3 6 3" xfId="6092" xr:uid="{00000000-0005-0000-0000-0000DB1C0000}"/>
    <cellStyle name="Normal 8 2 3 6 3 2" xfId="15418" xr:uid="{BAFE3D05-546C-4536-B3D0-FE2663CF3076}"/>
    <cellStyle name="Normal 8 2 3 6 4" xfId="11201" xr:uid="{63299F48-8D0F-4ED4-8AD6-C1E4FC43C5AF}"/>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50148E35-2DE5-4B46-B1C5-EC09E48F2044}"/>
    <cellStyle name="Normal 8 2 3 7 2 3" xfId="13759" xr:uid="{13050022-4D65-406A-A761-717FC9BB0C7A}"/>
    <cellStyle name="Normal 8 2 3 7 3" xfId="6505" xr:uid="{00000000-0005-0000-0000-0000DF1C0000}"/>
    <cellStyle name="Normal 8 2 3 7 3 2" xfId="15831" xr:uid="{D47D9530-6949-4477-BB34-8ABAE465E678}"/>
    <cellStyle name="Normal 8 2 3 7 4" xfId="11614" xr:uid="{899FAB13-F131-48DA-ADAD-860784EC113B}"/>
    <cellStyle name="Normal 8 2 3 8" xfId="2635" xr:uid="{00000000-0005-0000-0000-0000E01C0000}"/>
    <cellStyle name="Normal 8 2 3 8 2" xfId="6918" xr:uid="{00000000-0005-0000-0000-0000E11C0000}"/>
    <cellStyle name="Normal 8 2 3 8 2 2" xfId="16244" xr:uid="{4C8184E1-5242-4A46-8FCA-7F2988A83CCD}"/>
    <cellStyle name="Normal 8 2 3 8 3" xfId="12027" xr:uid="{A8EF6087-EFBF-453F-A7B8-31FA4BEEC9E1}"/>
    <cellStyle name="Normal 8 2 3 9" xfId="4853" xr:uid="{00000000-0005-0000-0000-0000E21C0000}"/>
    <cellStyle name="Normal 8 2 3 9 2" xfId="14179" xr:uid="{EA4CF401-8187-4BE3-AEFA-940D89B4AA94}"/>
    <cellStyle name="Normal 8 2 4" xfId="492" xr:uid="{00000000-0005-0000-0000-0000E31C0000}"/>
    <cellStyle name="Normal 8 2 4 10" xfId="9966" xr:uid="{9037E3B3-4E1C-49F9-8454-0E17908AF978}"/>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AEF8E9E3-C3BE-4E33-80AB-5DCEEDB5F827}"/>
    <cellStyle name="Normal 8 2 4 2 2 2 3" xfId="12525" xr:uid="{1BE4BD28-BC93-48F1-AAEE-911023430481}"/>
    <cellStyle name="Normal 8 2 4 2 2 3" xfId="5271" xr:uid="{00000000-0005-0000-0000-0000E81C0000}"/>
    <cellStyle name="Normal 8 2 4 2 2 3 2" xfId="14597" xr:uid="{344323FF-AD99-460C-AAA0-336378C370FE}"/>
    <cellStyle name="Normal 8 2 4 2 2 4" xfId="9486" xr:uid="{9F6EBE4C-F02F-43A6-A388-D5EACB1B3099}"/>
    <cellStyle name="Normal 8 2 4 2 2 5" xfId="10380" xr:uid="{22F0AC89-26F3-46AE-8B65-407B3D5B70A5}"/>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35CBBE67-7EFD-4296-9018-F3C89A6E27A3}"/>
    <cellStyle name="Normal 8 2 4 2 3 2 3" xfId="12938" xr:uid="{17A0217C-8C03-4816-A4CB-D872FDA64951}"/>
    <cellStyle name="Normal 8 2 4 2 3 3" xfId="5684" xr:uid="{00000000-0005-0000-0000-0000EC1C0000}"/>
    <cellStyle name="Normal 8 2 4 2 3 3 2" xfId="15010" xr:uid="{A20128A2-0DF3-4FD9-94B4-A0D2FC91636E}"/>
    <cellStyle name="Normal 8 2 4 2 3 4" xfId="10793" xr:uid="{B9EBBFB8-2661-4F3C-B7CB-17625D091E8E}"/>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8606AFE9-1D27-4BCF-8277-1A7378FFE85B}"/>
    <cellStyle name="Normal 8 2 4 2 4 2 3" xfId="13351" xr:uid="{4E1665C6-B9AA-4FC6-B87F-CCC8FE175DF6}"/>
    <cellStyle name="Normal 8 2 4 2 4 3" xfId="6097" xr:uid="{00000000-0005-0000-0000-0000F01C0000}"/>
    <cellStyle name="Normal 8 2 4 2 4 3 2" xfId="15423" xr:uid="{9EA1E045-D1C5-44F5-8F79-B79077BD0E23}"/>
    <cellStyle name="Normal 8 2 4 2 4 4" xfId="11206" xr:uid="{51640178-0664-4F0E-987A-682F32E60566}"/>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A26FFF44-4F6B-4A56-93DB-36C8FACFD45F}"/>
    <cellStyle name="Normal 8 2 4 2 5 2 3" xfId="13764" xr:uid="{BD9DBF28-F14D-42DD-BEB0-E06858A46675}"/>
    <cellStyle name="Normal 8 2 4 2 5 3" xfId="6510" xr:uid="{00000000-0005-0000-0000-0000F41C0000}"/>
    <cellStyle name="Normal 8 2 4 2 5 3 2" xfId="15836" xr:uid="{B5E24B6D-796F-435A-A7FD-4C03F815FA92}"/>
    <cellStyle name="Normal 8 2 4 2 5 4" xfId="11619" xr:uid="{E71BCD31-01A2-4C5F-845A-162BED7A485E}"/>
    <cellStyle name="Normal 8 2 4 2 6" xfId="2640" xr:uid="{00000000-0005-0000-0000-0000F51C0000}"/>
    <cellStyle name="Normal 8 2 4 2 6 2" xfId="6923" xr:uid="{00000000-0005-0000-0000-0000F61C0000}"/>
    <cellStyle name="Normal 8 2 4 2 6 2 2" xfId="16249" xr:uid="{9E272EAE-21BD-4D04-A0C7-D9CA35838DD0}"/>
    <cellStyle name="Normal 8 2 4 2 6 3" xfId="12032" xr:uid="{EA72BEAB-4D94-4341-A046-FF73E87D6D60}"/>
    <cellStyle name="Normal 8 2 4 2 7" xfId="4858" xr:uid="{00000000-0005-0000-0000-0000F71C0000}"/>
    <cellStyle name="Normal 8 2 4 2 7 2" xfId="14184" xr:uid="{8659D645-170F-409F-B5C6-BFCDE091342D}"/>
    <cellStyle name="Normal 8 2 4 2 8" xfId="9061" xr:uid="{7295DB82-9441-436C-AA3E-91B68F6E59B3}"/>
    <cellStyle name="Normal 8 2 4 2 9" xfId="9967" xr:uid="{92B3FB0B-5ABA-4FDC-BC97-FA33C5FA51BB}"/>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F3FB3D75-0DE4-4252-AA59-909AF97D37E7}"/>
    <cellStyle name="Normal 8 2 4 3 2 3" xfId="12524" xr:uid="{793338F2-307A-4DEE-B23E-9588FE35C8F5}"/>
    <cellStyle name="Normal 8 2 4 3 3" xfId="5270" xr:uid="{00000000-0005-0000-0000-0000FB1C0000}"/>
    <cellStyle name="Normal 8 2 4 3 3 2" xfId="14596" xr:uid="{797EEE9D-6674-46E8-9118-7A265A407503}"/>
    <cellStyle name="Normal 8 2 4 3 4" xfId="9279" xr:uid="{BA09D30D-BEBA-4223-83E6-57FB46A1EFA8}"/>
    <cellStyle name="Normal 8 2 4 3 5" xfId="10379" xr:uid="{AADDC8F9-C0F7-4590-836D-914E72AADDD5}"/>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F681B285-A146-47E1-A7ED-82F807092656}"/>
    <cellStyle name="Normal 8 2 4 4 2 3" xfId="12937" xr:uid="{8B98B761-A48C-4C73-A8B1-DDD92ED3B950}"/>
    <cellStyle name="Normal 8 2 4 4 3" xfId="5683" xr:uid="{00000000-0005-0000-0000-0000FF1C0000}"/>
    <cellStyle name="Normal 8 2 4 4 3 2" xfId="15009" xr:uid="{E67E49A4-06ED-4531-A51E-E9662857915E}"/>
    <cellStyle name="Normal 8 2 4 4 4" xfId="10792" xr:uid="{679F5A70-66F7-4B43-B6B0-686A455F8A06}"/>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D076C933-C36A-415E-A5F9-D6166B6F6210}"/>
    <cellStyle name="Normal 8 2 4 5 2 3" xfId="13350" xr:uid="{41AFC390-94F1-42BF-B19D-3379B1426D54}"/>
    <cellStyle name="Normal 8 2 4 5 3" xfId="6096" xr:uid="{00000000-0005-0000-0000-0000031D0000}"/>
    <cellStyle name="Normal 8 2 4 5 3 2" xfId="15422" xr:uid="{402ECF3D-C39D-4DAB-97E8-813170BB99EC}"/>
    <cellStyle name="Normal 8 2 4 5 4" xfId="11205" xr:uid="{7C1253C6-A852-4DDE-82B1-343BF28239A6}"/>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E0892D46-B902-4CCB-8F5C-179C597DD1EC}"/>
    <cellStyle name="Normal 8 2 4 6 2 3" xfId="13763" xr:uid="{3EA981C6-27AB-4CAC-9293-89A123018F8E}"/>
    <cellStyle name="Normal 8 2 4 6 3" xfId="6509" xr:uid="{00000000-0005-0000-0000-0000071D0000}"/>
    <cellStyle name="Normal 8 2 4 6 3 2" xfId="15835" xr:uid="{8846569D-F10F-4FD0-B46A-C63C7854562B}"/>
    <cellStyle name="Normal 8 2 4 6 4" xfId="11618" xr:uid="{24D52DD4-3668-4504-A3EE-42E80187E5FA}"/>
    <cellStyle name="Normal 8 2 4 7" xfId="2639" xr:uid="{00000000-0005-0000-0000-0000081D0000}"/>
    <cellStyle name="Normal 8 2 4 7 2" xfId="6922" xr:uid="{00000000-0005-0000-0000-0000091D0000}"/>
    <cellStyle name="Normal 8 2 4 7 2 2" xfId="16248" xr:uid="{64868A99-8DC8-415D-8F00-2A1064575B19}"/>
    <cellStyle name="Normal 8 2 4 7 3" xfId="12031" xr:uid="{760CF9C2-FDC3-42B2-A2F4-C25722D05737}"/>
    <cellStyle name="Normal 8 2 4 8" xfId="4857" xr:uid="{00000000-0005-0000-0000-00000A1D0000}"/>
    <cellStyle name="Normal 8 2 4 8 2" xfId="14183" xr:uid="{D49DCE47-B9FD-428E-B04A-678788F47261}"/>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AD8723EE-8E72-4A55-B070-C6971C11D642}"/>
    <cellStyle name="Normal 8 2 5 2 2 3" xfId="12526" xr:uid="{19704E1A-EBA2-4414-AB99-93E864181C0C}"/>
    <cellStyle name="Normal 8 2 5 2 3" xfId="5272" xr:uid="{00000000-0005-0000-0000-00000F1D0000}"/>
    <cellStyle name="Normal 8 2 5 2 3 2" xfId="14598" xr:uid="{974AAF7A-6743-4380-B01E-D40DF4CB025B}"/>
    <cellStyle name="Normal 8 2 5 2 4" xfId="9395" xr:uid="{D5766EF3-6042-484F-B510-7448518CF571}"/>
    <cellStyle name="Normal 8 2 5 2 5" xfId="10381" xr:uid="{5B82003F-EBC6-4D73-A4A5-72C777627C21}"/>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FD981B74-9308-4538-B75B-606DCF47407F}"/>
    <cellStyle name="Normal 8 2 5 3 2 3" xfId="12939" xr:uid="{E99B201F-4BE9-4299-98EE-CF256724549C}"/>
    <cellStyle name="Normal 8 2 5 3 3" xfId="5685" xr:uid="{00000000-0005-0000-0000-0000131D0000}"/>
    <cellStyle name="Normal 8 2 5 3 3 2" xfId="15011" xr:uid="{0352C903-1CF4-4450-97DD-50608A3079BB}"/>
    <cellStyle name="Normal 8 2 5 3 4" xfId="10794" xr:uid="{EFA427B7-AAE8-4FCE-AFDC-3EEA1D6C4C8B}"/>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E9F3551A-E21D-48B2-8A31-14F621434682}"/>
    <cellStyle name="Normal 8 2 5 4 2 3" xfId="13352" xr:uid="{1D2C646E-6B0B-4C25-AB63-66B6D147A374}"/>
    <cellStyle name="Normal 8 2 5 4 3" xfId="6098" xr:uid="{00000000-0005-0000-0000-0000171D0000}"/>
    <cellStyle name="Normal 8 2 5 4 3 2" xfId="15424" xr:uid="{CBC942EE-9817-4B00-95AC-57C7DA9B25DC}"/>
    <cellStyle name="Normal 8 2 5 4 4" xfId="11207" xr:uid="{DC9ECAEB-1025-4F9E-B455-5B3BDB41BCAB}"/>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7BEC7B24-882A-49F4-A6BB-3E2D774D90C0}"/>
    <cellStyle name="Normal 8 2 5 5 2 3" xfId="13765" xr:uid="{0BDC6B4C-3095-483D-B3E8-47E0F10D8AEF}"/>
    <cellStyle name="Normal 8 2 5 5 3" xfId="6511" xr:uid="{00000000-0005-0000-0000-00001B1D0000}"/>
    <cellStyle name="Normal 8 2 5 5 3 2" xfId="15837" xr:uid="{DBB557A9-2A02-462C-ABD4-D180C2904B3F}"/>
    <cellStyle name="Normal 8 2 5 5 4" xfId="11620" xr:uid="{E35CABFD-A2CE-47D4-A53A-E0C08E3BA17F}"/>
    <cellStyle name="Normal 8 2 5 6" xfId="2641" xr:uid="{00000000-0005-0000-0000-00001C1D0000}"/>
    <cellStyle name="Normal 8 2 5 6 2" xfId="6924" xr:uid="{00000000-0005-0000-0000-00001D1D0000}"/>
    <cellStyle name="Normal 8 2 5 6 2 2" xfId="16250" xr:uid="{0BE3DDE2-3ABC-4107-8C08-DF597F61B845}"/>
    <cellStyle name="Normal 8 2 5 6 3" xfId="12033" xr:uid="{95AE4DAB-B450-4AEA-85F3-2166260156C4}"/>
    <cellStyle name="Normal 8 2 5 7" xfId="4859" xr:uid="{00000000-0005-0000-0000-00001E1D0000}"/>
    <cellStyle name="Normal 8 2 5 7 2" xfId="14185" xr:uid="{09EAE15D-29C2-4134-85B8-1EA644546401}"/>
    <cellStyle name="Normal 8 2 5 8" xfId="8970" xr:uid="{7E9ACEFF-1680-45D8-BC32-8CA9BA1D63D4}"/>
    <cellStyle name="Normal 8 2 5 9" xfId="9968" xr:uid="{0D08E184-424A-4AB7-A71B-CEAA66E24C4B}"/>
    <cellStyle name="Normal 8 2 6" xfId="946" xr:uid="{00000000-0005-0000-0000-00001F1D0000}"/>
    <cellStyle name="Normal 8 2 6 2" xfId="3180" xr:uid="{00000000-0005-0000-0000-0000201D0000}"/>
    <cellStyle name="Normal 8 2 6 2 2" xfId="7402" xr:uid="{00000000-0005-0000-0000-0000211D0000}"/>
    <cellStyle name="Normal 8 2 6 2 2 2" xfId="16728" xr:uid="{8F8EF7F2-4320-40FF-892F-8B7BA309954F}"/>
    <cellStyle name="Normal 8 2 6 2 3" xfId="12511" xr:uid="{136767FC-8307-4EA7-A187-51115E55BA6E}"/>
    <cellStyle name="Normal 8 2 6 3" xfId="5257" xr:uid="{00000000-0005-0000-0000-0000221D0000}"/>
    <cellStyle name="Normal 8 2 6 3 2" xfId="14583" xr:uid="{F16812EC-65CE-4BB1-A61C-6DF218665E28}"/>
    <cellStyle name="Normal 8 2 6 4" xfId="9173" xr:uid="{C36295B3-E6F0-4A6D-AEE5-72C8177C13EE}"/>
    <cellStyle name="Normal 8 2 6 5" xfId="10366" xr:uid="{C2D842F9-8045-4E88-929D-9BADD481D06D}"/>
    <cellStyle name="Normal 8 2 7" xfId="1363" xr:uid="{00000000-0005-0000-0000-0000231D0000}"/>
    <cellStyle name="Normal 8 2 7 2" xfId="3593" xr:uid="{00000000-0005-0000-0000-0000241D0000}"/>
    <cellStyle name="Normal 8 2 7 2 2" xfId="7815" xr:uid="{00000000-0005-0000-0000-0000251D0000}"/>
    <cellStyle name="Normal 8 2 7 2 2 2" xfId="17141" xr:uid="{496AFE8B-FF87-4503-A886-5C551396DEB5}"/>
    <cellStyle name="Normal 8 2 7 2 3" xfId="12924" xr:uid="{5D998AB4-90E2-45B1-B172-8C4DBDABE154}"/>
    <cellStyle name="Normal 8 2 7 3" xfId="5670" xr:uid="{00000000-0005-0000-0000-0000261D0000}"/>
    <cellStyle name="Normal 8 2 7 3 2" xfId="14996" xr:uid="{24F39EDD-5718-4433-BA1E-04CF05F5D7FE}"/>
    <cellStyle name="Normal 8 2 7 4" xfId="10779" xr:uid="{6259E32B-18B2-4F39-8B64-64F382699514}"/>
    <cellStyle name="Normal 8 2 8" xfId="1776" xr:uid="{00000000-0005-0000-0000-0000271D0000}"/>
    <cellStyle name="Normal 8 2 8 2" xfId="4006" xr:uid="{00000000-0005-0000-0000-0000281D0000}"/>
    <cellStyle name="Normal 8 2 8 2 2" xfId="8228" xr:uid="{00000000-0005-0000-0000-0000291D0000}"/>
    <cellStyle name="Normal 8 2 8 2 2 2" xfId="17554" xr:uid="{EE6A4222-0FA1-4E32-BA04-EF8AD5CB0061}"/>
    <cellStyle name="Normal 8 2 8 2 3" xfId="13337" xr:uid="{B1815D17-1234-4644-BD7D-B2209FBE00A8}"/>
    <cellStyle name="Normal 8 2 8 3" xfId="6083" xr:uid="{00000000-0005-0000-0000-00002A1D0000}"/>
    <cellStyle name="Normal 8 2 8 3 2" xfId="15409" xr:uid="{A8359D18-9226-4029-8653-F0F577296BBD}"/>
    <cellStyle name="Normal 8 2 8 4" xfId="11192" xr:uid="{F5E7FF18-3E3D-4667-89D8-91FF41DF2325}"/>
    <cellStyle name="Normal 8 2 9" xfId="2190" xr:uid="{00000000-0005-0000-0000-00002B1D0000}"/>
    <cellStyle name="Normal 8 2 9 2" xfId="4419" xr:uid="{00000000-0005-0000-0000-00002C1D0000}"/>
    <cellStyle name="Normal 8 2 9 2 2" xfId="8641" xr:uid="{00000000-0005-0000-0000-00002D1D0000}"/>
    <cellStyle name="Normal 8 2 9 2 2 2" xfId="17967" xr:uid="{2CA086C4-D5F5-4758-B62B-5F08BE6F3C3B}"/>
    <cellStyle name="Normal 8 2 9 2 3" xfId="13750" xr:uid="{EC788F5E-FDB0-48A8-8E93-6E3126D6B739}"/>
    <cellStyle name="Normal 8 2 9 3" xfId="6496" xr:uid="{00000000-0005-0000-0000-00002E1D0000}"/>
    <cellStyle name="Normal 8 2 9 3 2" xfId="15822" xr:uid="{BE650B78-12AD-4EAD-A565-8B9509322250}"/>
    <cellStyle name="Normal 8 2 9 4" xfId="11605" xr:uid="{4E1273E1-FFD4-4B2D-ACE9-0112EBE8FEAE}"/>
    <cellStyle name="Normal 8 3" xfId="495" xr:uid="{00000000-0005-0000-0000-00002F1D0000}"/>
    <cellStyle name="Normal 8 3 10" xfId="4860" xr:uid="{00000000-0005-0000-0000-0000301D0000}"/>
    <cellStyle name="Normal 8 3 10 2" xfId="14186" xr:uid="{10F057D0-CE00-4712-8978-DADBDDA49E11}"/>
    <cellStyle name="Normal 8 3 11" xfId="8774" xr:uid="{81BDDADD-940D-4F3A-BD6C-7E4719C8A3D2}"/>
    <cellStyle name="Normal 8 3 12" xfId="9969" xr:uid="{51C76F10-6E4D-43AF-A91F-9434E2837E40}"/>
    <cellStyle name="Normal 8 3 2" xfId="496" xr:uid="{00000000-0005-0000-0000-0000311D0000}"/>
    <cellStyle name="Normal 8 3 2 10" xfId="8837" xr:uid="{392842AA-84B1-4A71-AE94-A1B631487B7E}"/>
    <cellStyle name="Normal 8 3 2 11" xfId="9970" xr:uid="{2C6FC487-BB46-471B-9B1C-7F70958CA54B}"/>
    <cellStyle name="Normal 8 3 2 2" xfId="497" xr:uid="{00000000-0005-0000-0000-0000321D0000}"/>
    <cellStyle name="Normal 8 3 2 2 10" xfId="9971" xr:uid="{47E75A73-3BB5-425C-A214-801870D638A7}"/>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4CFD1295-A138-4096-9FB6-D2E6141F5BC3}"/>
    <cellStyle name="Normal 8 3 2 2 2 2 2 3" xfId="12530" xr:uid="{BC399648-2AB9-4D13-A877-252904E1960D}"/>
    <cellStyle name="Normal 8 3 2 2 2 2 3" xfId="5276" xr:uid="{00000000-0005-0000-0000-0000371D0000}"/>
    <cellStyle name="Normal 8 3 2 2 2 2 3 2" xfId="14602" xr:uid="{46D2D778-75A5-428F-A18D-126776D191A0}"/>
    <cellStyle name="Normal 8 3 2 2 2 2 4" xfId="9572" xr:uid="{83269435-2305-4677-BD8B-8CB801DC108A}"/>
    <cellStyle name="Normal 8 3 2 2 2 2 5" xfId="10385" xr:uid="{FB68A3CB-E29F-48AD-AA20-EECA3295FC14}"/>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940657F2-7AFC-4139-AC8B-F8D48E949C8C}"/>
    <cellStyle name="Normal 8 3 2 2 2 3 2 3" xfId="12943" xr:uid="{EA77E17D-7842-4125-BB02-4A762099A11A}"/>
    <cellStyle name="Normal 8 3 2 2 2 3 3" xfId="5689" xr:uid="{00000000-0005-0000-0000-00003B1D0000}"/>
    <cellStyle name="Normal 8 3 2 2 2 3 3 2" xfId="15015" xr:uid="{0A8115D1-8EA6-4C3E-8924-6F7E3909A728}"/>
    <cellStyle name="Normal 8 3 2 2 2 3 4" xfId="10798" xr:uid="{A088A000-F357-4BFA-879B-A8F927DED0DF}"/>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B13A4934-8F49-4A74-ADB4-8C6ED4B1DBA5}"/>
    <cellStyle name="Normal 8 3 2 2 2 4 2 3" xfId="13356" xr:uid="{2F0B27CE-F7A7-4A42-820C-96BA74A8277D}"/>
    <cellStyle name="Normal 8 3 2 2 2 4 3" xfId="6102" xr:uid="{00000000-0005-0000-0000-00003F1D0000}"/>
    <cellStyle name="Normal 8 3 2 2 2 4 3 2" xfId="15428" xr:uid="{703A99BD-23D8-4E47-9C01-B5B3B9257CF7}"/>
    <cellStyle name="Normal 8 3 2 2 2 4 4" xfId="11211" xr:uid="{EBABE2A0-E104-4312-A363-1C07BFAB7369}"/>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C74B6A7C-92C9-4137-8D57-4B2C072A7676}"/>
    <cellStyle name="Normal 8 3 2 2 2 5 2 3" xfId="13769" xr:uid="{25BE0D73-E0B2-4128-BD26-9F51611C80B3}"/>
    <cellStyle name="Normal 8 3 2 2 2 5 3" xfId="6515" xr:uid="{00000000-0005-0000-0000-0000431D0000}"/>
    <cellStyle name="Normal 8 3 2 2 2 5 3 2" xfId="15841" xr:uid="{3E00130C-1AF0-4531-811C-BFBDB95A2D5A}"/>
    <cellStyle name="Normal 8 3 2 2 2 5 4" xfId="11624" xr:uid="{C4EAEBAD-262E-45DA-B5D5-0EBA21BECEFF}"/>
    <cellStyle name="Normal 8 3 2 2 2 6" xfId="2645" xr:uid="{00000000-0005-0000-0000-0000441D0000}"/>
    <cellStyle name="Normal 8 3 2 2 2 6 2" xfId="6928" xr:uid="{00000000-0005-0000-0000-0000451D0000}"/>
    <cellStyle name="Normal 8 3 2 2 2 6 2 2" xfId="16254" xr:uid="{311DFC58-C939-4B64-853B-D226D31B8824}"/>
    <cellStyle name="Normal 8 3 2 2 2 6 3" xfId="12037" xr:uid="{EF45CB5E-2280-46CB-ABF9-0BAA7A7DD4A0}"/>
    <cellStyle name="Normal 8 3 2 2 2 7" xfId="4863" xr:uid="{00000000-0005-0000-0000-0000461D0000}"/>
    <cellStyle name="Normal 8 3 2 2 2 7 2" xfId="14189" xr:uid="{C94765B7-9B1A-4490-8D60-22A3D12A2A67}"/>
    <cellStyle name="Normal 8 3 2 2 2 8" xfId="9147" xr:uid="{16780743-13F5-44BF-919B-157B86988913}"/>
    <cellStyle name="Normal 8 3 2 2 2 9" xfId="9972" xr:uid="{97191998-A073-4A2E-A7D2-1DA968E2C158}"/>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20587B1D-D8E6-49DB-A746-340896F9682E}"/>
    <cellStyle name="Normal 8 3 2 2 3 2 3" xfId="12529" xr:uid="{7410E195-C26E-445F-8710-C92C775DC479}"/>
    <cellStyle name="Normal 8 3 2 2 3 3" xfId="5275" xr:uid="{00000000-0005-0000-0000-00004A1D0000}"/>
    <cellStyle name="Normal 8 3 2 2 3 3 2" xfId="14601" xr:uid="{CC2BC209-2B51-4164-ABF2-77B58998D939}"/>
    <cellStyle name="Normal 8 3 2 2 3 4" xfId="9365" xr:uid="{47FF7C14-7484-41B9-856F-11398F7B2C7C}"/>
    <cellStyle name="Normal 8 3 2 2 3 5" xfId="10384" xr:uid="{CB15F779-36C5-46C8-A5A8-E057BFC783A4}"/>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52DB61CF-31DE-46D1-8701-1F7E570C556A}"/>
    <cellStyle name="Normal 8 3 2 2 4 2 3" xfId="12942" xr:uid="{8DB74568-E947-4DE2-8CB1-5ABEAAE9BDE0}"/>
    <cellStyle name="Normal 8 3 2 2 4 3" xfId="5688" xr:uid="{00000000-0005-0000-0000-00004E1D0000}"/>
    <cellStyle name="Normal 8 3 2 2 4 3 2" xfId="15014" xr:uid="{E88B85B7-BDBA-4170-94B3-ABDF447B7247}"/>
    <cellStyle name="Normal 8 3 2 2 4 4" xfId="10797" xr:uid="{0093C34F-06A9-45DF-8ABE-3F9564FDDFB9}"/>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58BB76EA-1E7A-45BE-B6D6-7048CA76D57A}"/>
    <cellStyle name="Normal 8 3 2 2 5 2 3" xfId="13355" xr:uid="{37088E53-E949-42F2-B92E-4DD8D930259D}"/>
    <cellStyle name="Normal 8 3 2 2 5 3" xfId="6101" xr:uid="{00000000-0005-0000-0000-0000521D0000}"/>
    <cellStyle name="Normal 8 3 2 2 5 3 2" xfId="15427" xr:uid="{4649B015-EBC8-4BC2-BCDB-85B69518AF47}"/>
    <cellStyle name="Normal 8 3 2 2 5 4" xfId="11210" xr:uid="{4A1EF74A-152D-44A7-88FA-7573970C7FF1}"/>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645C0259-1210-49FF-AC24-A5F5BD2A254C}"/>
    <cellStyle name="Normal 8 3 2 2 6 2 3" xfId="13768" xr:uid="{DC16E6F9-7D19-4BA7-A18E-E3ADB3821004}"/>
    <cellStyle name="Normal 8 3 2 2 6 3" xfId="6514" xr:uid="{00000000-0005-0000-0000-0000561D0000}"/>
    <cellStyle name="Normal 8 3 2 2 6 3 2" xfId="15840" xr:uid="{1429D283-9C7A-4E78-8E31-7867E5D460F1}"/>
    <cellStyle name="Normal 8 3 2 2 6 4" xfId="11623" xr:uid="{0CFB7766-CAB1-4E9F-8970-21EE3E827B15}"/>
    <cellStyle name="Normal 8 3 2 2 7" xfId="2644" xr:uid="{00000000-0005-0000-0000-0000571D0000}"/>
    <cellStyle name="Normal 8 3 2 2 7 2" xfId="6927" xr:uid="{00000000-0005-0000-0000-0000581D0000}"/>
    <cellStyle name="Normal 8 3 2 2 7 2 2" xfId="16253" xr:uid="{4A1B0817-7703-4455-ABF1-FBFACBE946FD}"/>
    <cellStyle name="Normal 8 3 2 2 7 3" xfId="12036" xr:uid="{D26F27F5-6D32-4CA1-80DD-A5DF4CE7463C}"/>
    <cellStyle name="Normal 8 3 2 2 8" xfId="4862" xr:uid="{00000000-0005-0000-0000-0000591D0000}"/>
    <cellStyle name="Normal 8 3 2 2 8 2" xfId="14188" xr:uid="{37AC161B-73E7-466C-881C-AECC0C7BCDAD}"/>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D65BE95F-351E-48C0-959F-8CFD950ACF9E}"/>
    <cellStyle name="Normal 8 3 2 3 2 2 3" xfId="12531" xr:uid="{1FD4B8A0-8D2B-4E48-9D10-5BA12579F63A}"/>
    <cellStyle name="Normal 8 3 2 3 2 3" xfId="5277" xr:uid="{00000000-0005-0000-0000-00005E1D0000}"/>
    <cellStyle name="Normal 8 3 2 3 2 3 2" xfId="14603" xr:uid="{DBA07195-9585-4562-B338-60BB1C86FE22}"/>
    <cellStyle name="Normal 8 3 2 3 2 4" xfId="9469" xr:uid="{7CA6C380-A6E9-4AF4-A29A-E40C8E9B5B5F}"/>
    <cellStyle name="Normal 8 3 2 3 2 5" xfId="10386" xr:uid="{DCE28DC0-9DB6-4028-ADBD-D9C5BCF6C689}"/>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87CB1ABA-3844-479A-96B7-607142DBF9BD}"/>
    <cellStyle name="Normal 8 3 2 3 3 2 3" xfId="12944" xr:uid="{D2E7E89D-BBA6-47E4-8DA2-BFA29FE03076}"/>
    <cellStyle name="Normal 8 3 2 3 3 3" xfId="5690" xr:uid="{00000000-0005-0000-0000-0000621D0000}"/>
    <cellStyle name="Normal 8 3 2 3 3 3 2" xfId="15016" xr:uid="{6EE2AE40-E072-4012-BF2E-654785116A77}"/>
    <cellStyle name="Normal 8 3 2 3 3 4" xfId="10799" xr:uid="{F2082654-90AE-4217-88A1-EC0E82710A80}"/>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1D17BD7F-841D-4CEC-918A-E0E23E4B8278}"/>
    <cellStyle name="Normal 8 3 2 3 4 2 3" xfId="13357" xr:uid="{71468FA2-8F69-468A-9677-B7F9490F8C93}"/>
    <cellStyle name="Normal 8 3 2 3 4 3" xfId="6103" xr:uid="{00000000-0005-0000-0000-0000661D0000}"/>
    <cellStyle name="Normal 8 3 2 3 4 3 2" xfId="15429" xr:uid="{D3BCE2DD-6E42-4F9D-B4BC-FA3B45F77E18}"/>
    <cellStyle name="Normal 8 3 2 3 4 4" xfId="11212" xr:uid="{D636BF3D-A173-4DFA-B9A1-53DD9DAA53BF}"/>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FCDBD11F-EDAB-44A9-84D3-0608C19CFAA3}"/>
    <cellStyle name="Normal 8 3 2 3 5 2 3" xfId="13770" xr:uid="{780E3BA5-7E63-445B-9780-C098A173101D}"/>
    <cellStyle name="Normal 8 3 2 3 5 3" xfId="6516" xr:uid="{00000000-0005-0000-0000-00006A1D0000}"/>
    <cellStyle name="Normal 8 3 2 3 5 3 2" xfId="15842" xr:uid="{6FD279E2-F024-4020-B1EF-41458BE13CED}"/>
    <cellStyle name="Normal 8 3 2 3 5 4" xfId="11625" xr:uid="{D43AE94E-F4A4-4A95-93F0-21B18FB9EE85}"/>
    <cellStyle name="Normal 8 3 2 3 6" xfId="2646" xr:uid="{00000000-0005-0000-0000-00006B1D0000}"/>
    <cellStyle name="Normal 8 3 2 3 6 2" xfId="6929" xr:uid="{00000000-0005-0000-0000-00006C1D0000}"/>
    <cellStyle name="Normal 8 3 2 3 6 2 2" xfId="16255" xr:uid="{9C621A73-C90E-4E76-BD2A-68BFB8818C0B}"/>
    <cellStyle name="Normal 8 3 2 3 6 3" xfId="12038" xr:uid="{59D2B154-E851-4497-B6D2-8ABD82DEF323}"/>
    <cellStyle name="Normal 8 3 2 3 7" xfId="4864" xr:uid="{00000000-0005-0000-0000-00006D1D0000}"/>
    <cellStyle name="Normal 8 3 2 3 7 2" xfId="14190" xr:uid="{AFF47CE6-9150-4F62-A803-9011E9C625EB}"/>
    <cellStyle name="Normal 8 3 2 3 8" xfId="9044" xr:uid="{5ED49706-9CA9-4EE9-B01D-112CD1DB587C}"/>
    <cellStyle name="Normal 8 3 2 3 9" xfId="9973" xr:uid="{1BED20DF-CAE9-4A0E-B3C5-83A557F7234A}"/>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2421D445-0AD9-4F95-A431-9B795CCE92DF}"/>
    <cellStyle name="Normal 8 3 2 4 2 3" xfId="12528" xr:uid="{CA82AC1A-BBD6-4EE9-9CF4-A7221FFC9835}"/>
    <cellStyle name="Normal 8 3 2 4 3" xfId="5274" xr:uid="{00000000-0005-0000-0000-0000711D0000}"/>
    <cellStyle name="Normal 8 3 2 4 3 2" xfId="14600" xr:uid="{AB9E1164-4113-4CD1-BF12-BF42DFCA93EE}"/>
    <cellStyle name="Normal 8 3 2 4 4" xfId="9262" xr:uid="{8842595C-CD28-4B10-9BE6-37883B4C2AA9}"/>
    <cellStyle name="Normal 8 3 2 4 5" xfId="10383" xr:uid="{E8B2CB2B-733F-4101-AA5E-1F89649CE3AB}"/>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E7F57283-82B1-40B6-B444-8A1F95EC137C}"/>
    <cellStyle name="Normal 8 3 2 5 2 3" xfId="12941" xr:uid="{D513BE57-5850-4C16-B88F-2AAE841148FC}"/>
    <cellStyle name="Normal 8 3 2 5 3" xfId="5687" xr:uid="{00000000-0005-0000-0000-0000751D0000}"/>
    <cellStyle name="Normal 8 3 2 5 3 2" xfId="15013" xr:uid="{2AA42B10-E2E0-4119-8AC4-8DA09C43A8F2}"/>
    <cellStyle name="Normal 8 3 2 5 4" xfId="10796" xr:uid="{4E89BDA6-0250-4656-B653-451FEE164B97}"/>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E01285B9-5091-4D22-90D1-64DE9B324C1B}"/>
    <cellStyle name="Normal 8 3 2 6 2 3" xfId="13354" xr:uid="{A7802FD5-5CFE-47EC-9790-EBE7F89C81DE}"/>
    <cellStyle name="Normal 8 3 2 6 3" xfId="6100" xr:uid="{00000000-0005-0000-0000-0000791D0000}"/>
    <cellStyle name="Normal 8 3 2 6 3 2" xfId="15426" xr:uid="{EC2D09D2-6A77-4D5C-A10E-23610A1DB1FE}"/>
    <cellStyle name="Normal 8 3 2 6 4" xfId="11209" xr:uid="{31DF4531-AEBB-4E53-906B-E170803F8599}"/>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89CAF4B6-0829-4264-A19D-60C1522F526B}"/>
    <cellStyle name="Normal 8 3 2 7 2 3" xfId="13767" xr:uid="{221BC23F-B1BE-4E41-9F1B-70DDB03812D1}"/>
    <cellStyle name="Normal 8 3 2 7 3" xfId="6513" xr:uid="{00000000-0005-0000-0000-00007D1D0000}"/>
    <cellStyle name="Normal 8 3 2 7 3 2" xfId="15839" xr:uid="{90588E17-FD03-4BCB-B6D7-17BF15ABE2DB}"/>
    <cellStyle name="Normal 8 3 2 7 4" xfId="11622" xr:uid="{74A76489-5996-489F-8284-976D46C74D29}"/>
    <cellStyle name="Normal 8 3 2 8" xfId="2643" xr:uid="{00000000-0005-0000-0000-00007E1D0000}"/>
    <cellStyle name="Normal 8 3 2 8 2" xfId="6926" xr:uid="{00000000-0005-0000-0000-00007F1D0000}"/>
    <cellStyle name="Normal 8 3 2 8 2 2" xfId="16252" xr:uid="{84CA14C8-FFE3-4543-BA64-3734D661430F}"/>
    <cellStyle name="Normal 8 3 2 8 3" xfId="12035" xr:uid="{F9C5FA53-D929-4CD4-9F4E-6DD0C5B66D8B}"/>
    <cellStyle name="Normal 8 3 2 9" xfId="4861" xr:uid="{00000000-0005-0000-0000-0000801D0000}"/>
    <cellStyle name="Normal 8 3 2 9 2" xfId="14187" xr:uid="{7B4EB427-1E94-4810-BB8F-3E5BCF85FAC1}"/>
    <cellStyle name="Normal 8 3 3" xfId="500" xr:uid="{00000000-0005-0000-0000-0000811D0000}"/>
    <cellStyle name="Normal 8 3 3 10" xfId="9974" xr:uid="{CAC12B3C-B373-4E8E-BE10-025327EA5C37}"/>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4DBA762C-9498-4512-83D4-8DC63702B3F1}"/>
    <cellStyle name="Normal 8 3 3 2 2 2 3" xfId="12533" xr:uid="{866D5548-40D0-4DFE-A128-DC7788DFD94F}"/>
    <cellStyle name="Normal 8 3 3 2 2 3" xfId="5279" xr:uid="{00000000-0005-0000-0000-0000861D0000}"/>
    <cellStyle name="Normal 8 3 3 2 2 3 2" xfId="14605" xr:uid="{3C2CEDBB-E588-4BC4-AFB7-08A03721EC87}"/>
    <cellStyle name="Normal 8 3 3 2 2 4" xfId="9509" xr:uid="{3B4378D3-7C51-4B91-822B-758528BFF352}"/>
    <cellStyle name="Normal 8 3 3 2 2 5" xfId="10388" xr:uid="{1BB389BF-AA31-494E-9C6F-7A9B43882D22}"/>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44D80A73-6217-4D3E-9A6E-B8F139FDC2F7}"/>
    <cellStyle name="Normal 8 3 3 2 3 2 3" xfId="12946" xr:uid="{5DDFADAB-FE5F-405B-9437-CEA6F0A08B88}"/>
    <cellStyle name="Normal 8 3 3 2 3 3" xfId="5692" xr:uid="{00000000-0005-0000-0000-00008A1D0000}"/>
    <cellStyle name="Normal 8 3 3 2 3 3 2" xfId="15018" xr:uid="{DC9E1648-09F1-4BF5-8679-3E9D917A3075}"/>
    <cellStyle name="Normal 8 3 3 2 3 4" xfId="10801" xr:uid="{83370D9F-AD47-48D2-BAF6-4D851666AB1D}"/>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981C6D8F-4544-4F3A-86BE-349946B4404B}"/>
    <cellStyle name="Normal 8 3 3 2 4 2 3" xfId="13359" xr:uid="{4CBBBBFF-F0DD-426A-9B5B-6807A0054B19}"/>
    <cellStyle name="Normal 8 3 3 2 4 3" xfId="6105" xr:uid="{00000000-0005-0000-0000-00008E1D0000}"/>
    <cellStyle name="Normal 8 3 3 2 4 3 2" xfId="15431" xr:uid="{089307D1-B651-4590-80A5-6FFCAB26F479}"/>
    <cellStyle name="Normal 8 3 3 2 4 4" xfId="11214" xr:uid="{43B3D8FC-7B7B-41CD-8448-3B48F3C5F4BE}"/>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3F528932-E287-4C4E-889F-F1EAA6BAB5B3}"/>
    <cellStyle name="Normal 8 3 3 2 5 2 3" xfId="13772" xr:uid="{E9113E5C-C4A0-42C5-80ED-C71544D421CE}"/>
    <cellStyle name="Normal 8 3 3 2 5 3" xfId="6518" xr:uid="{00000000-0005-0000-0000-0000921D0000}"/>
    <cellStyle name="Normal 8 3 3 2 5 3 2" xfId="15844" xr:uid="{D2886611-27DE-43C0-B211-45258B590381}"/>
    <cellStyle name="Normal 8 3 3 2 5 4" xfId="11627" xr:uid="{B24F92DA-B0A2-49C6-A182-71211CE3E581}"/>
    <cellStyle name="Normal 8 3 3 2 6" xfId="2648" xr:uid="{00000000-0005-0000-0000-0000931D0000}"/>
    <cellStyle name="Normal 8 3 3 2 6 2" xfId="6931" xr:uid="{00000000-0005-0000-0000-0000941D0000}"/>
    <cellStyle name="Normal 8 3 3 2 6 2 2" xfId="16257" xr:uid="{3CFAEC67-51C4-4603-B54B-266F6D5EEA2D}"/>
    <cellStyle name="Normal 8 3 3 2 6 3" xfId="12040" xr:uid="{8641197E-8B60-4314-A90A-85EAECE28755}"/>
    <cellStyle name="Normal 8 3 3 2 7" xfId="4866" xr:uid="{00000000-0005-0000-0000-0000951D0000}"/>
    <cellStyle name="Normal 8 3 3 2 7 2" xfId="14192" xr:uid="{B2961995-2185-42F5-86AC-CAC27CFC47FD}"/>
    <cellStyle name="Normal 8 3 3 2 8" xfId="9084" xr:uid="{94243AB7-0454-4C95-8E94-054E46718167}"/>
    <cellStyle name="Normal 8 3 3 2 9" xfId="9975" xr:uid="{33A135FB-8A82-4983-96A1-B016A84A5ABE}"/>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FD574E35-9D6A-4356-B3C5-60DF8CD7D07E}"/>
    <cellStyle name="Normal 8 3 3 3 2 3" xfId="12532" xr:uid="{0C11276E-F76B-4ECD-B1FE-22F1F78334FD}"/>
    <cellStyle name="Normal 8 3 3 3 3" xfId="5278" xr:uid="{00000000-0005-0000-0000-0000991D0000}"/>
    <cellStyle name="Normal 8 3 3 3 3 2" xfId="14604" xr:uid="{3BAB708C-00F8-483B-A4FC-F2EF443E6BC4}"/>
    <cellStyle name="Normal 8 3 3 3 4" xfId="9302" xr:uid="{3985B908-2B56-4F9B-BEA3-8962926FD004}"/>
    <cellStyle name="Normal 8 3 3 3 5" xfId="10387" xr:uid="{1DB4950C-6EBE-4472-A40A-2C1A529C19A6}"/>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834012B0-EC02-4C3A-B544-DE3787C5AA3D}"/>
    <cellStyle name="Normal 8 3 3 4 2 3" xfId="12945" xr:uid="{6AC399EB-A205-4E16-9FBF-2AE5814EEA7C}"/>
    <cellStyle name="Normal 8 3 3 4 3" xfId="5691" xr:uid="{00000000-0005-0000-0000-00009D1D0000}"/>
    <cellStyle name="Normal 8 3 3 4 3 2" xfId="15017" xr:uid="{DDDD14DB-2FE9-4B9D-914A-E90AB0A1141A}"/>
    <cellStyle name="Normal 8 3 3 4 4" xfId="10800" xr:uid="{0298AC8B-D76D-4BBE-9B3D-83C44D69A89D}"/>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D914A985-8717-4A42-B86E-BB1BDC292CF8}"/>
    <cellStyle name="Normal 8 3 3 5 2 3" xfId="13358" xr:uid="{0C6D55D7-B1D3-4A97-B4B1-8335F863F90F}"/>
    <cellStyle name="Normal 8 3 3 5 3" xfId="6104" xr:uid="{00000000-0005-0000-0000-0000A11D0000}"/>
    <cellStyle name="Normal 8 3 3 5 3 2" xfId="15430" xr:uid="{5053EFAF-4BF6-4F40-886D-9F8A1647F8BE}"/>
    <cellStyle name="Normal 8 3 3 5 4" xfId="11213" xr:uid="{0D35C62B-747C-48D7-B66C-EED1E04D4D80}"/>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5B5689B0-6766-4032-8E65-2E05ED1FD784}"/>
    <cellStyle name="Normal 8 3 3 6 2 3" xfId="13771" xr:uid="{7E2A1078-2CD3-41CD-B42F-1FBEC177C5B3}"/>
    <cellStyle name="Normal 8 3 3 6 3" xfId="6517" xr:uid="{00000000-0005-0000-0000-0000A51D0000}"/>
    <cellStyle name="Normal 8 3 3 6 3 2" xfId="15843" xr:uid="{33AF09A7-5557-4C2B-B2D0-3C8B8D4E8577}"/>
    <cellStyle name="Normal 8 3 3 6 4" xfId="11626" xr:uid="{2A603285-4094-4F87-8F42-37ED26B6CD3B}"/>
    <cellStyle name="Normal 8 3 3 7" xfId="2647" xr:uid="{00000000-0005-0000-0000-0000A61D0000}"/>
    <cellStyle name="Normal 8 3 3 7 2" xfId="6930" xr:uid="{00000000-0005-0000-0000-0000A71D0000}"/>
    <cellStyle name="Normal 8 3 3 7 2 2" xfId="16256" xr:uid="{797E4824-F169-48D8-8353-71D1BF02A1BE}"/>
    <cellStyle name="Normal 8 3 3 7 3" xfId="12039" xr:uid="{DCDE616E-1B9D-4F4F-98C9-9533237A895F}"/>
    <cellStyle name="Normal 8 3 3 8" xfId="4865" xr:uid="{00000000-0005-0000-0000-0000A81D0000}"/>
    <cellStyle name="Normal 8 3 3 8 2" xfId="14191" xr:uid="{DF5B0E99-99D2-4C45-8717-C20E9FC2D05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37709487-E292-4375-973B-56D0864D1F32}"/>
    <cellStyle name="Normal 8 3 4 2 2 3" xfId="12534" xr:uid="{B5A15865-E717-40BF-86DD-ED0930F748B2}"/>
    <cellStyle name="Normal 8 3 4 2 3" xfId="5280" xr:uid="{00000000-0005-0000-0000-0000AD1D0000}"/>
    <cellStyle name="Normal 8 3 4 2 3 2" xfId="14606" xr:uid="{73CF426B-85A8-4236-8C77-D5F66D537E02}"/>
    <cellStyle name="Normal 8 3 4 2 4" xfId="9406" xr:uid="{8751BE45-E47B-4A0A-B0DE-04C14FAEA88D}"/>
    <cellStyle name="Normal 8 3 4 2 5" xfId="10389" xr:uid="{41BCC265-F4C6-4460-BA6A-A92570E6F263}"/>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DD861526-0259-4C19-B392-5905E6F87126}"/>
    <cellStyle name="Normal 8 3 4 3 2 3" xfId="12947" xr:uid="{5362DBB3-D8D8-443D-93E8-9D143D544D84}"/>
    <cellStyle name="Normal 8 3 4 3 3" xfId="5693" xr:uid="{00000000-0005-0000-0000-0000B11D0000}"/>
    <cellStyle name="Normal 8 3 4 3 3 2" xfId="15019" xr:uid="{D79714AA-A0B1-42E2-9A93-FC667292DF74}"/>
    <cellStyle name="Normal 8 3 4 3 4" xfId="10802" xr:uid="{C200F8B5-F976-45A0-BB8A-D06F58ADE9D4}"/>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E51A728B-EB15-48D5-B739-03E4D09ECFB9}"/>
    <cellStyle name="Normal 8 3 4 4 2 3" xfId="13360" xr:uid="{97883BBA-7461-4B9B-AFBF-FF10972241EA}"/>
    <cellStyle name="Normal 8 3 4 4 3" xfId="6106" xr:uid="{00000000-0005-0000-0000-0000B51D0000}"/>
    <cellStyle name="Normal 8 3 4 4 3 2" xfId="15432" xr:uid="{875663E0-E07A-4E1E-8359-A85371882E2B}"/>
    <cellStyle name="Normal 8 3 4 4 4" xfId="11215" xr:uid="{0A976FC5-B3AE-4585-B2CD-2500EB72BCAF}"/>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77933216-FA25-442C-A792-3ED94E003988}"/>
    <cellStyle name="Normal 8 3 4 5 2 3" xfId="13773" xr:uid="{9B2FB54A-9868-410D-ACB6-0A03D370D883}"/>
    <cellStyle name="Normal 8 3 4 5 3" xfId="6519" xr:uid="{00000000-0005-0000-0000-0000B91D0000}"/>
    <cellStyle name="Normal 8 3 4 5 3 2" xfId="15845" xr:uid="{CC84CE90-82A8-4E9C-AF5B-3863FD8C2A44}"/>
    <cellStyle name="Normal 8 3 4 5 4" xfId="11628" xr:uid="{8243B4A4-1F12-4687-BED0-1EB60F008F37}"/>
    <cellStyle name="Normal 8 3 4 6" xfId="2649" xr:uid="{00000000-0005-0000-0000-0000BA1D0000}"/>
    <cellStyle name="Normal 8 3 4 6 2" xfId="6932" xr:uid="{00000000-0005-0000-0000-0000BB1D0000}"/>
    <cellStyle name="Normal 8 3 4 6 2 2" xfId="16258" xr:uid="{AD9E06B6-A5F0-4680-AC0E-656D36DD5502}"/>
    <cellStyle name="Normal 8 3 4 6 3" xfId="12041" xr:uid="{2FCEE82D-B181-4099-B81F-7BF08F5E266E}"/>
    <cellStyle name="Normal 8 3 4 7" xfId="4867" xr:uid="{00000000-0005-0000-0000-0000BC1D0000}"/>
    <cellStyle name="Normal 8 3 4 7 2" xfId="14193" xr:uid="{17059D6D-6680-43E3-80A6-D052BD9E5360}"/>
    <cellStyle name="Normal 8 3 4 8" xfId="8981" xr:uid="{BEE184E9-ECE6-4107-B29A-CC8BC7F28FA3}"/>
    <cellStyle name="Normal 8 3 4 9" xfId="9976" xr:uid="{8EEAF0F3-739E-4F44-89CC-3C68DEAC468D}"/>
    <cellStyle name="Normal 8 3 5" xfId="962" xr:uid="{00000000-0005-0000-0000-0000BD1D0000}"/>
    <cellStyle name="Normal 8 3 5 2" xfId="3196" xr:uid="{00000000-0005-0000-0000-0000BE1D0000}"/>
    <cellStyle name="Normal 8 3 5 2 2" xfId="7418" xr:uid="{00000000-0005-0000-0000-0000BF1D0000}"/>
    <cellStyle name="Normal 8 3 5 2 2 2" xfId="16744" xr:uid="{835C8921-065B-4BD2-A2CB-508FD921348E}"/>
    <cellStyle name="Normal 8 3 5 2 3" xfId="12527" xr:uid="{DFFF5F2E-B857-4690-A4D7-139537E8842B}"/>
    <cellStyle name="Normal 8 3 5 3" xfId="5273" xr:uid="{00000000-0005-0000-0000-0000C01D0000}"/>
    <cellStyle name="Normal 8 3 5 3 2" xfId="14599" xr:uid="{ED3B451E-B65F-4CC6-8DA8-B6EB0E1CD478}"/>
    <cellStyle name="Normal 8 3 5 4" xfId="9198" xr:uid="{FA5A5C79-C3AC-4E17-9344-90C4E411EE0B}"/>
    <cellStyle name="Normal 8 3 5 5" xfId="10382" xr:uid="{4D4425FC-F24E-4142-AE35-959714910B94}"/>
    <cellStyle name="Normal 8 3 6" xfId="1379" xr:uid="{00000000-0005-0000-0000-0000C11D0000}"/>
    <cellStyle name="Normal 8 3 6 2" xfId="3609" xr:uid="{00000000-0005-0000-0000-0000C21D0000}"/>
    <cellStyle name="Normal 8 3 6 2 2" xfId="7831" xr:uid="{00000000-0005-0000-0000-0000C31D0000}"/>
    <cellStyle name="Normal 8 3 6 2 2 2" xfId="17157" xr:uid="{35D2880E-AE27-45C1-B52A-E983E4AC79CA}"/>
    <cellStyle name="Normal 8 3 6 2 3" xfId="12940" xr:uid="{911C8160-6ADE-48A6-B0E4-9DBC1D121462}"/>
    <cellStyle name="Normal 8 3 6 3" xfId="5686" xr:uid="{00000000-0005-0000-0000-0000C41D0000}"/>
    <cellStyle name="Normal 8 3 6 3 2" xfId="15012" xr:uid="{0A550BB7-865A-447C-850C-8569F0300043}"/>
    <cellStyle name="Normal 8 3 6 4" xfId="10795" xr:uid="{A3CAFADE-CDE3-4183-911C-695510C733F6}"/>
    <cellStyle name="Normal 8 3 7" xfId="1792" xr:uid="{00000000-0005-0000-0000-0000C51D0000}"/>
    <cellStyle name="Normal 8 3 7 2" xfId="4022" xr:uid="{00000000-0005-0000-0000-0000C61D0000}"/>
    <cellStyle name="Normal 8 3 7 2 2" xfId="8244" xr:uid="{00000000-0005-0000-0000-0000C71D0000}"/>
    <cellStyle name="Normal 8 3 7 2 2 2" xfId="17570" xr:uid="{6F792D1E-2240-4DD3-9A64-3C22793DBBA0}"/>
    <cellStyle name="Normal 8 3 7 2 3" xfId="13353" xr:uid="{E18CF7B0-1D47-4352-B5C9-42C89F4B1B73}"/>
    <cellStyle name="Normal 8 3 7 3" xfId="6099" xr:uid="{00000000-0005-0000-0000-0000C81D0000}"/>
    <cellStyle name="Normal 8 3 7 3 2" xfId="15425" xr:uid="{13B031A2-0767-41CF-A968-41728AA2F013}"/>
    <cellStyle name="Normal 8 3 7 4" xfId="11208" xr:uid="{20F163C9-17E1-4A81-9F2C-21BAF55CCDB4}"/>
    <cellStyle name="Normal 8 3 8" xfId="2206" xr:uid="{00000000-0005-0000-0000-0000C91D0000}"/>
    <cellStyle name="Normal 8 3 8 2" xfId="4435" xr:uid="{00000000-0005-0000-0000-0000CA1D0000}"/>
    <cellStyle name="Normal 8 3 8 2 2" xfId="8657" xr:uid="{00000000-0005-0000-0000-0000CB1D0000}"/>
    <cellStyle name="Normal 8 3 8 2 2 2" xfId="17983" xr:uid="{1F7AD144-5312-4847-B572-24B408B10C6A}"/>
    <cellStyle name="Normal 8 3 8 2 3" xfId="13766" xr:uid="{91E6708A-B2FA-425B-918C-ACA24C92E258}"/>
    <cellStyle name="Normal 8 3 8 3" xfId="6512" xr:uid="{00000000-0005-0000-0000-0000CC1D0000}"/>
    <cellStyle name="Normal 8 3 8 3 2" xfId="15838" xr:uid="{185904DE-0B7C-41B9-9D8D-89F5AD545BC9}"/>
    <cellStyle name="Normal 8 3 8 4" xfId="11621" xr:uid="{6BF2DD59-80DA-4072-A720-27C49815EAB7}"/>
    <cellStyle name="Normal 8 3 9" xfId="2642" xr:uid="{00000000-0005-0000-0000-0000CD1D0000}"/>
    <cellStyle name="Normal 8 3 9 2" xfId="6925" xr:uid="{00000000-0005-0000-0000-0000CE1D0000}"/>
    <cellStyle name="Normal 8 3 9 2 2" xfId="16251" xr:uid="{5B8C3AFA-BC78-4FF0-8643-DAAE5D63EA9F}"/>
    <cellStyle name="Normal 8 3 9 3" xfId="12034" xr:uid="{3A02C519-F9BB-4FA0-A4DB-C6C174A8D2C3}"/>
    <cellStyle name="Normal 8 4" xfId="503" xr:uid="{00000000-0005-0000-0000-0000CF1D0000}"/>
    <cellStyle name="Normal 8 4 10" xfId="8834" xr:uid="{78848A4E-06FA-4050-B553-A3A7DEA1B047}"/>
    <cellStyle name="Normal 8 4 11" xfId="9977" xr:uid="{C48644E1-C351-4845-9904-EC59DF400236}"/>
    <cellStyle name="Normal 8 4 2" xfId="504" xr:uid="{00000000-0005-0000-0000-0000D01D0000}"/>
    <cellStyle name="Normal 8 4 2 10" xfId="9978" xr:uid="{CB479946-4049-4E22-B2B6-A00F376C4598}"/>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A5AD9762-BF05-4382-83C1-073C5B271822}"/>
    <cellStyle name="Normal 8 4 2 2 2 2 3" xfId="12537" xr:uid="{44B70CE3-DD65-4C3E-8D0B-BBED5EE8C666}"/>
    <cellStyle name="Normal 8 4 2 2 2 3" xfId="5283" xr:uid="{00000000-0005-0000-0000-0000D51D0000}"/>
    <cellStyle name="Normal 8 4 2 2 2 3 2" xfId="14609" xr:uid="{CCAB59FA-A30E-4797-A342-4869ED16712A}"/>
    <cellStyle name="Normal 8 4 2 2 2 4" xfId="9569" xr:uid="{F21122F8-27BB-4D46-891E-281F736F5353}"/>
    <cellStyle name="Normal 8 4 2 2 2 5" xfId="10392" xr:uid="{07E83C89-6BB6-4AE0-9265-0A103FA57B56}"/>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34D7B83D-5D00-4C5C-9954-928F0E423B8E}"/>
    <cellStyle name="Normal 8 4 2 2 3 2 3" xfId="12950" xr:uid="{F35ABDEB-2E3E-4E4C-A492-5098CC5B56B9}"/>
    <cellStyle name="Normal 8 4 2 2 3 3" xfId="5696" xr:uid="{00000000-0005-0000-0000-0000D91D0000}"/>
    <cellStyle name="Normal 8 4 2 2 3 3 2" xfId="15022" xr:uid="{A44F1D4F-EF87-42DE-897C-5D173A1272CC}"/>
    <cellStyle name="Normal 8 4 2 2 3 4" xfId="10805" xr:uid="{D9BBADAD-DB15-4BD9-8A56-32DEE53080D4}"/>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15D38EB2-F503-4FDF-967E-8D0CFCCA7E23}"/>
    <cellStyle name="Normal 8 4 2 2 4 2 3" xfId="13363" xr:uid="{C915562F-627D-4E52-80EB-684B321BD4D5}"/>
    <cellStyle name="Normal 8 4 2 2 4 3" xfId="6109" xr:uid="{00000000-0005-0000-0000-0000DD1D0000}"/>
    <cellStyle name="Normal 8 4 2 2 4 3 2" xfId="15435" xr:uid="{80EDB97D-7482-47F3-B656-523734285EE3}"/>
    <cellStyle name="Normal 8 4 2 2 4 4" xfId="11218" xr:uid="{CA488684-80B7-4388-A8D8-539DF6154960}"/>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9C569118-55A8-4240-9CA5-6B9BFC5EC7AB}"/>
    <cellStyle name="Normal 8 4 2 2 5 2 3" xfId="13776" xr:uid="{7F4F9E4C-DC18-4EB2-AFE6-0140E26BB836}"/>
    <cellStyle name="Normal 8 4 2 2 5 3" xfId="6522" xr:uid="{00000000-0005-0000-0000-0000E11D0000}"/>
    <cellStyle name="Normal 8 4 2 2 5 3 2" xfId="15848" xr:uid="{143F5FD7-E99D-4528-9113-6E7BBA13FDB3}"/>
    <cellStyle name="Normal 8 4 2 2 5 4" xfId="11631" xr:uid="{593054CE-AA3A-4470-A754-904EDC32A17F}"/>
    <cellStyle name="Normal 8 4 2 2 6" xfId="2652" xr:uid="{00000000-0005-0000-0000-0000E21D0000}"/>
    <cellStyle name="Normal 8 4 2 2 6 2" xfId="6935" xr:uid="{00000000-0005-0000-0000-0000E31D0000}"/>
    <cellStyle name="Normal 8 4 2 2 6 2 2" xfId="16261" xr:uid="{ECB1BDCC-762E-4C98-B9EF-15783D42FA0A}"/>
    <cellStyle name="Normal 8 4 2 2 6 3" xfId="12044" xr:uid="{7F652C22-A9E1-449C-9BEA-A35C0E8670D6}"/>
    <cellStyle name="Normal 8 4 2 2 7" xfId="4870" xr:uid="{00000000-0005-0000-0000-0000E41D0000}"/>
    <cellStyle name="Normal 8 4 2 2 7 2" xfId="14196" xr:uid="{497B4B51-309C-4D99-81D5-D8A50323EE50}"/>
    <cellStyle name="Normal 8 4 2 2 8" xfId="9144" xr:uid="{EF6B0978-3DE8-47DC-990C-0B47AAC8F1DC}"/>
    <cellStyle name="Normal 8 4 2 2 9" xfId="9979" xr:uid="{542D2284-311B-4CC3-BF76-DA20E987B736}"/>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CEE19054-3F93-4384-9D48-10AADFBBCF74}"/>
    <cellStyle name="Normal 8 4 2 3 2 3" xfId="12536" xr:uid="{A3F59570-3BEF-4050-8A28-F1FE4BF3E85C}"/>
    <cellStyle name="Normal 8 4 2 3 3" xfId="5282" xr:uid="{00000000-0005-0000-0000-0000E81D0000}"/>
    <cellStyle name="Normal 8 4 2 3 3 2" xfId="14608" xr:uid="{DCC36C52-B08A-478C-96CE-0F5397018405}"/>
    <cellStyle name="Normal 8 4 2 3 4" xfId="9362" xr:uid="{206856BB-FDDB-4012-ABFE-5E991E477A14}"/>
    <cellStyle name="Normal 8 4 2 3 5" xfId="10391" xr:uid="{F6F8D9AD-46D7-471C-9562-48B4C5267A2B}"/>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134D3940-E7F8-4ECF-B177-17EBDEAABE96}"/>
    <cellStyle name="Normal 8 4 2 4 2 3" xfId="12949" xr:uid="{7C0B6816-5D73-4B84-BC6C-547A3D6513B9}"/>
    <cellStyle name="Normal 8 4 2 4 3" xfId="5695" xr:uid="{00000000-0005-0000-0000-0000EC1D0000}"/>
    <cellStyle name="Normal 8 4 2 4 3 2" xfId="15021" xr:uid="{F92EE489-9276-435F-8BBA-D233488BFA2D}"/>
    <cellStyle name="Normal 8 4 2 4 4" xfId="10804" xr:uid="{A2DD85B2-1A03-4229-97B9-1A806205C67B}"/>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903389CC-4726-43FB-AF69-00A91ACDEE34}"/>
    <cellStyle name="Normal 8 4 2 5 2 3" xfId="13362" xr:uid="{39DD2BE4-E91A-47D4-80CF-EA5F8F496423}"/>
    <cellStyle name="Normal 8 4 2 5 3" xfId="6108" xr:uid="{00000000-0005-0000-0000-0000F01D0000}"/>
    <cellStyle name="Normal 8 4 2 5 3 2" xfId="15434" xr:uid="{7FEE5670-ADBD-4DC3-A4D7-703085F79515}"/>
    <cellStyle name="Normal 8 4 2 5 4" xfId="11217" xr:uid="{3929B3B7-061E-4261-A2EA-D33697C056DC}"/>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2C16E864-5793-44A4-906F-A7E7AC586A69}"/>
    <cellStyle name="Normal 8 4 2 6 2 3" xfId="13775" xr:uid="{95516279-F712-4BA5-A366-47B8C88A01CC}"/>
    <cellStyle name="Normal 8 4 2 6 3" xfId="6521" xr:uid="{00000000-0005-0000-0000-0000F41D0000}"/>
    <cellStyle name="Normal 8 4 2 6 3 2" xfId="15847" xr:uid="{07444994-9210-45E0-83DE-E986433E095F}"/>
    <cellStyle name="Normal 8 4 2 6 4" xfId="11630" xr:uid="{EC1368E6-F03B-47C8-8BFA-E4D0B18ACCED}"/>
    <cellStyle name="Normal 8 4 2 7" xfId="2651" xr:uid="{00000000-0005-0000-0000-0000F51D0000}"/>
    <cellStyle name="Normal 8 4 2 7 2" xfId="6934" xr:uid="{00000000-0005-0000-0000-0000F61D0000}"/>
    <cellStyle name="Normal 8 4 2 7 2 2" xfId="16260" xr:uid="{4736A109-4A6C-4899-9205-755C2FB25417}"/>
    <cellStyle name="Normal 8 4 2 7 3" xfId="12043" xr:uid="{66A9A5C1-484D-4E94-85A6-96AE6A013A3B}"/>
    <cellStyle name="Normal 8 4 2 8" xfId="4869" xr:uid="{00000000-0005-0000-0000-0000F71D0000}"/>
    <cellStyle name="Normal 8 4 2 8 2" xfId="14195" xr:uid="{E6D9C918-00AF-4A96-9CE7-42484C971952}"/>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9D38623B-76F3-4DC3-9409-26F536DA4397}"/>
    <cellStyle name="Normal 8 4 3 2 2 3" xfId="12538" xr:uid="{3DC4DF29-30E2-4BE9-8260-4BC85ABA1E39}"/>
    <cellStyle name="Normal 8 4 3 2 3" xfId="5284" xr:uid="{00000000-0005-0000-0000-0000FC1D0000}"/>
    <cellStyle name="Normal 8 4 3 2 3 2" xfId="14610" xr:uid="{3B05F8E2-3621-4975-BB8B-1A2BC1FE407C}"/>
    <cellStyle name="Normal 8 4 3 2 4" xfId="9466" xr:uid="{4C42748F-6D34-4D0D-8AE2-FFD5C0CBE26F}"/>
    <cellStyle name="Normal 8 4 3 2 5" xfId="10393" xr:uid="{0A2F11B5-04DA-43E8-B0DC-8ECE1608E932}"/>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C1EAFF96-8C43-4D05-8E94-AAADE72E1E35}"/>
    <cellStyle name="Normal 8 4 3 3 2 3" xfId="12951" xr:uid="{C76FACA7-1035-4F31-85EA-BD5202187B37}"/>
    <cellStyle name="Normal 8 4 3 3 3" xfId="5697" xr:uid="{00000000-0005-0000-0000-0000001E0000}"/>
    <cellStyle name="Normal 8 4 3 3 3 2" xfId="15023" xr:uid="{33668143-0FD4-4944-A306-45C7F5F78A3E}"/>
    <cellStyle name="Normal 8 4 3 3 4" xfId="10806" xr:uid="{8ADC54FD-EEF1-4913-AF98-D7D1E94ACB46}"/>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837EE75B-2B28-4FF9-9350-86D6C9A4E0BF}"/>
    <cellStyle name="Normal 8 4 3 4 2 3" xfId="13364" xr:uid="{B670E81C-943B-4484-9988-32CFC5A0B388}"/>
    <cellStyle name="Normal 8 4 3 4 3" xfId="6110" xr:uid="{00000000-0005-0000-0000-0000041E0000}"/>
    <cellStyle name="Normal 8 4 3 4 3 2" xfId="15436" xr:uid="{45DD6472-0D19-4285-9D98-7530821F3C28}"/>
    <cellStyle name="Normal 8 4 3 4 4" xfId="11219" xr:uid="{20F72C8C-5EA3-49CC-89BE-BF9955CCCE5E}"/>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EEC39BFE-371D-4362-80D9-11874B58F207}"/>
    <cellStyle name="Normal 8 4 3 5 2 3" xfId="13777" xr:uid="{C1586F9D-C622-4460-9CAC-097477F51053}"/>
    <cellStyle name="Normal 8 4 3 5 3" xfId="6523" xr:uid="{00000000-0005-0000-0000-0000081E0000}"/>
    <cellStyle name="Normal 8 4 3 5 3 2" xfId="15849" xr:uid="{032D894C-129D-452F-BDDA-102A5D7A8553}"/>
    <cellStyle name="Normal 8 4 3 5 4" xfId="11632" xr:uid="{5BF966D4-AB8E-4C80-B158-64E22AAA669B}"/>
    <cellStyle name="Normal 8 4 3 6" xfId="2653" xr:uid="{00000000-0005-0000-0000-0000091E0000}"/>
    <cellStyle name="Normal 8 4 3 6 2" xfId="6936" xr:uid="{00000000-0005-0000-0000-00000A1E0000}"/>
    <cellStyle name="Normal 8 4 3 6 2 2" xfId="16262" xr:uid="{0218A706-A816-45A6-BE61-C6ADBE0E0A95}"/>
    <cellStyle name="Normal 8 4 3 6 3" xfId="12045" xr:uid="{D9CCA59A-6770-4EBD-82FA-782D3A081EA0}"/>
    <cellStyle name="Normal 8 4 3 7" xfId="4871" xr:uid="{00000000-0005-0000-0000-00000B1E0000}"/>
    <cellStyle name="Normal 8 4 3 7 2" xfId="14197" xr:uid="{B039EA22-A2F7-4A30-89F2-E9B6C155334B}"/>
    <cellStyle name="Normal 8 4 3 8" xfId="9041" xr:uid="{3EA15F1E-D38A-4BB8-BEC6-98D9A94BB79B}"/>
    <cellStyle name="Normal 8 4 3 9" xfId="9980" xr:uid="{9FB3A134-AE12-468A-B078-7EADBA5D98D0}"/>
    <cellStyle name="Normal 8 4 4" xfId="970" xr:uid="{00000000-0005-0000-0000-00000C1E0000}"/>
    <cellStyle name="Normal 8 4 4 2" xfId="3204" xr:uid="{00000000-0005-0000-0000-00000D1E0000}"/>
    <cellStyle name="Normal 8 4 4 2 2" xfId="7426" xr:uid="{00000000-0005-0000-0000-00000E1E0000}"/>
    <cellStyle name="Normal 8 4 4 2 2 2" xfId="16752" xr:uid="{D14A4F1D-69E5-413E-A6D8-C4EA793901EB}"/>
    <cellStyle name="Normal 8 4 4 2 3" xfId="12535" xr:uid="{4955720D-2641-48CB-AB36-4F9F6E7E4D92}"/>
    <cellStyle name="Normal 8 4 4 3" xfId="5281" xr:uid="{00000000-0005-0000-0000-00000F1E0000}"/>
    <cellStyle name="Normal 8 4 4 3 2" xfId="14607" xr:uid="{D95FA656-4A70-4CB1-B107-E7F0EBF7BC1F}"/>
    <cellStyle name="Normal 8 4 4 4" xfId="9259" xr:uid="{45904BAA-3C39-482B-A2B6-0FB84C0B889C}"/>
    <cellStyle name="Normal 8 4 4 5" xfId="10390" xr:uid="{7F03B382-F64A-4240-8AD1-D42AB7F5E566}"/>
    <cellStyle name="Normal 8 4 5" xfId="1387" xr:uid="{00000000-0005-0000-0000-0000101E0000}"/>
    <cellStyle name="Normal 8 4 5 2" xfId="3617" xr:uid="{00000000-0005-0000-0000-0000111E0000}"/>
    <cellStyle name="Normal 8 4 5 2 2" xfId="7839" xr:uid="{00000000-0005-0000-0000-0000121E0000}"/>
    <cellStyle name="Normal 8 4 5 2 2 2" xfId="17165" xr:uid="{6DC0D2B7-5E9E-4933-AB87-2C05D94B6C0E}"/>
    <cellStyle name="Normal 8 4 5 2 3" xfId="12948" xr:uid="{68792B05-2800-4182-9571-A219163093B6}"/>
    <cellStyle name="Normal 8 4 5 3" xfId="5694" xr:uid="{00000000-0005-0000-0000-0000131E0000}"/>
    <cellStyle name="Normal 8 4 5 3 2" xfId="15020" xr:uid="{A0CBD0B1-3839-4338-A9E0-D15E44E578E6}"/>
    <cellStyle name="Normal 8 4 5 4" xfId="10803" xr:uid="{38DF50F2-A8C1-4BE2-B2E1-30487609A2EF}"/>
    <cellStyle name="Normal 8 4 6" xfId="1800" xr:uid="{00000000-0005-0000-0000-0000141E0000}"/>
    <cellStyle name="Normal 8 4 6 2" xfId="4030" xr:uid="{00000000-0005-0000-0000-0000151E0000}"/>
    <cellStyle name="Normal 8 4 6 2 2" xfId="8252" xr:uid="{00000000-0005-0000-0000-0000161E0000}"/>
    <cellStyle name="Normal 8 4 6 2 2 2" xfId="17578" xr:uid="{1FDB37C9-9567-43E9-B05C-FCBA1EAC617B}"/>
    <cellStyle name="Normal 8 4 6 2 3" xfId="13361" xr:uid="{60CF688F-97B6-41F7-A0B0-5352CE772F55}"/>
    <cellStyle name="Normal 8 4 6 3" xfId="6107" xr:uid="{00000000-0005-0000-0000-0000171E0000}"/>
    <cellStyle name="Normal 8 4 6 3 2" xfId="15433" xr:uid="{A9C2824C-202F-4106-BFA2-C90EDA0014CA}"/>
    <cellStyle name="Normal 8 4 6 4" xfId="11216" xr:uid="{DE49E513-C5AE-4F09-868B-14CF1DE3F1DB}"/>
    <cellStyle name="Normal 8 4 7" xfId="2214" xr:uid="{00000000-0005-0000-0000-0000181E0000}"/>
    <cellStyle name="Normal 8 4 7 2" xfId="4443" xr:uid="{00000000-0005-0000-0000-0000191E0000}"/>
    <cellStyle name="Normal 8 4 7 2 2" xfId="8665" xr:uid="{00000000-0005-0000-0000-00001A1E0000}"/>
    <cellStyle name="Normal 8 4 7 2 2 2" xfId="17991" xr:uid="{3E6A785D-3118-4715-B10C-054B198E26D5}"/>
    <cellStyle name="Normal 8 4 7 2 3" xfId="13774" xr:uid="{557DF82D-CE8E-476C-9EC2-4137A5C444EA}"/>
    <cellStyle name="Normal 8 4 7 3" xfId="6520" xr:uid="{00000000-0005-0000-0000-00001B1E0000}"/>
    <cellStyle name="Normal 8 4 7 3 2" xfId="15846" xr:uid="{1CCA954C-9EE2-4942-9EEE-7F9800EA5B19}"/>
    <cellStyle name="Normal 8 4 7 4" xfId="11629" xr:uid="{59908CC7-EA5F-413A-B7F8-98B4E8493FD9}"/>
    <cellStyle name="Normal 8 4 8" xfId="2650" xr:uid="{00000000-0005-0000-0000-00001C1E0000}"/>
    <cellStyle name="Normal 8 4 8 2" xfId="6933" xr:uid="{00000000-0005-0000-0000-00001D1E0000}"/>
    <cellStyle name="Normal 8 4 8 2 2" xfId="16259" xr:uid="{507B2259-4700-4C78-AC0F-161F8287D44A}"/>
    <cellStyle name="Normal 8 4 8 3" xfId="12042" xr:uid="{C31FC914-7307-4C28-A610-B446793A8C2B}"/>
    <cellStyle name="Normal 8 4 9" xfId="4868" xr:uid="{00000000-0005-0000-0000-00001E1E0000}"/>
    <cellStyle name="Normal 8 4 9 2" xfId="14194" xr:uid="{C703DEFE-03C0-4699-AB67-DFF64C9F38EA}"/>
    <cellStyle name="Normal 8 5" xfId="507" xr:uid="{00000000-0005-0000-0000-00001F1E0000}"/>
    <cellStyle name="Normal 8 5 10" xfId="9981" xr:uid="{A28A5B01-0F54-476C-A920-D66F6809AA16}"/>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24D02C7E-8CEB-4045-BDEB-9BF93E7C93F8}"/>
    <cellStyle name="Normal 8 5 2 2 2 3" xfId="12540" xr:uid="{EC4F8E94-1B35-4D63-9328-385C54293919}"/>
    <cellStyle name="Normal 8 5 2 2 3" xfId="5286" xr:uid="{00000000-0005-0000-0000-0000241E0000}"/>
    <cellStyle name="Normal 8 5 2 2 3 2" xfId="14612" xr:uid="{854737D9-872B-48DE-AADA-C4CCDD09EF77}"/>
    <cellStyle name="Normal 8 5 2 2 4" xfId="9477" xr:uid="{62ED1F43-6081-4B0B-94C3-5999D37D11C7}"/>
    <cellStyle name="Normal 8 5 2 2 5" xfId="10395" xr:uid="{685423AD-17E4-4735-A88B-3673B1F161C0}"/>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55B73352-D6F3-49A2-BA33-365612A6B80A}"/>
    <cellStyle name="Normal 8 5 2 3 2 3" xfId="12953" xr:uid="{9CAC7035-24CF-4FBC-B615-2D3FF6D117A5}"/>
    <cellStyle name="Normal 8 5 2 3 3" xfId="5699" xr:uid="{00000000-0005-0000-0000-0000281E0000}"/>
    <cellStyle name="Normal 8 5 2 3 3 2" xfId="15025" xr:uid="{790AD8C6-899A-45A5-AD41-947757ECBD29}"/>
    <cellStyle name="Normal 8 5 2 3 4" xfId="10808" xr:uid="{772AC5CB-3E96-4226-A1B2-FDBB14A3FC41}"/>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F798170B-DBF7-4B4D-B133-67784D732F76}"/>
    <cellStyle name="Normal 8 5 2 4 2 3" xfId="13366" xr:uid="{DA32166A-467E-4549-9053-79946548BF41}"/>
    <cellStyle name="Normal 8 5 2 4 3" xfId="6112" xr:uid="{00000000-0005-0000-0000-00002C1E0000}"/>
    <cellStyle name="Normal 8 5 2 4 3 2" xfId="15438" xr:uid="{433A5367-D7D3-4CA7-A15C-3F5D46647B5A}"/>
    <cellStyle name="Normal 8 5 2 4 4" xfId="11221" xr:uid="{9B28D51B-B555-4A58-AFE1-93E60139EBC6}"/>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3734341D-2322-4AA4-989F-2A37D30C4112}"/>
    <cellStyle name="Normal 8 5 2 5 2 3" xfId="13779" xr:uid="{386A81D5-B4A7-423C-8AB8-4DB1B2F0EB92}"/>
    <cellStyle name="Normal 8 5 2 5 3" xfId="6525" xr:uid="{00000000-0005-0000-0000-0000301E0000}"/>
    <cellStyle name="Normal 8 5 2 5 3 2" xfId="15851" xr:uid="{92558F2A-0795-4287-9981-149822BB95EB}"/>
    <cellStyle name="Normal 8 5 2 5 4" xfId="11634" xr:uid="{72E59F02-1254-453B-81C0-7267136D2DE5}"/>
    <cellStyle name="Normal 8 5 2 6" xfId="2655" xr:uid="{00000000-0005-0000-0000-0000311E0000}"/>
    <cellStyle name="Normal 8 5 2 6 2" xfId="6938" xr:uid="{00000000-0005-0000-0000-0000321E0000}"/>
    <cellStyle name="Normal 8 5 2 6 2 2" xfId="16264" xr:uid="{8B2FBD77-5EE1-4FA5-BA7A-3E31BB1577B4}"/>
    <cellStyle name="Normal 8 5 2 6 3" xfId="12047" xr:uid="{66B9B1BD-9780-44D2-BA7F-EEA4014DE49B}"/>
    <cellStyle name="Normal 8 5 2 7" xfId="4873" xr:uid="{00000000-0005-0000-0000-0000331E0000}"/>
    <cellStyle name="Normal 8 5 2 7 2" xfId="14199" xr:uid="{1501CDFF-01BC-4F35-B992-64754FE93B3F}"/>
    <cellStyle name="Normal 8 5 2 8" xfId="9052" xr:uid="{D754D15A-EECE-4975-9542-AF3C340304E3}"/>
    <cellStyle name="Normal 8 5 2 9" xfId="9982" xr:uid="{70AFE913-2267-4313-83E1-0683F307A763}"/>
    <cellStyle name="Normal 8 5 3" xfId="974" xr:uid="{00000000-0005-0000-0000-0000341E0000}"/>
    <cellStyle name="Normal 8 5 3 2" xfId="3208" xr:uid="{00000000-0005-0000-0000-0000351E0000}"/>
    <cellStyle name="Normal 8 5 3 2 2" xfId="7430" xr:uid="{00000000-0005-0000-0000-0000361E0000}"/>
    <cellStyle name="Normal 8 5 3 2 2 2" xfId="16756" xr:uid="{E4520F89-3DB9-40A5-8B7E-95FBF50CCD75}"/>
    <cellStyle name="Normal 8 5 3 2 3" xfId="12539" xr:uid="{494B080D-FAFA-4942-AB03-9BA6BD1B6362}"/>
    <cellStyle name="Normal 8 5 3 3" xfId="5285" xr:uid="{00000000-0005-0000-0000-0000371E0000}"/>
    <cellStyle name="Normal 8 5 3 3 2" xfId="14611" xr:uid="{684ED8BE-EA75-4F89-B3D3-A9190C94102F}"/>
    <cellStyle name="Normal 8 5 3 4" xfId="9270" xr:uid="{88F9D262-71F2-4DD2-A7F6-B0DCE74ABD45}"/>
    <cellStyle name="Normal 8 5 3 5" xfId="10394" xr:uid="{095DC700-9CD3-46C1-8F69-2FE711FBE806}"/>
    <cellStyle name="Normal 8 5 4" xfId="1391" xr:uid="{00000000-0005-0000-0000-0000381E0000}"/>
    <cellStyle name="Normal 8 5 4 2" xfId="3621" xr:uid="{00000000-0005-0000-0000-0000391E0000}"/>
    <cellStyle name="Normal 8 5 4 2 2" xfId="7843" xr:uid="{00000000-0005-0000-0000-00003A1E0000}"/>
    <cellStyle name="Normal 8 5 4 2 2 2" xfId="17169" xr:uid="{BF18CC63-6552-4F76-8B83-D689F22A0D13}"/>
    <cellStyle name="Normal 8 5 4 2 3" xfId="12952" xr:uid="{BB141845-4205-4490-A457-F5C8563CC0F4}"/>
    <cellStyle name="Normal 8 5 4 3" xfId="5698" xr:uid="{00000000-0005-0000-0000-00003B1E0000}"/>
    <cellStyle name="Normal 8 5 4 3 2" xfId="15024" xr:uid="{853B62EA-C24F-4141-A97D-107676EBB471}"/>
    <cellStyle name="Normal 8 5 4 4" xfId="10807" xr:uid="{5F5611FB-6947-40B4-A363-693919879305}"/>
    <cellStyle name="Normal 8 5 5" xfId="1804" xr:uid="{00000000-0005-0000-0000-00003C1E0000}"/>
    <cellStyle name="Normal 8 5 5 2" xfId="4034" xr:uid="{00000000-0005-0000-0000-00003D1E0000}"/>
    <cellStyle name="Normal 8 5 5 2 2" xfId="8256" xr:uid="{00000000-0005-0000-0000-00003E1E0000}"/>
    <cellStyle name="Normal 8 5 5 2 2 2" xfId="17582" xr:uid="{8EB60DC7-4622-4311-9E29-1C2A99DB3B28}"/>
    <cellStyle name="Normal 8 5 5 2 3" xfId="13365" xr:uid="{D9BA0883-ED33-4489-82D8-B52CE0F51DF3}"/>
    <cellStyle name="Normal 8 5 5 3" xfId="6111" xr:uid="{00000000-0005-0000-0000-00003F1E0000}"/>
    <cellStyle name="Normal 8 5 5 3 2" xfId="15437" xr:uid="{CCD459FC-FC7F-4CE1-8A60-1286A1903193}"/>
    <cellStyle name="Normal 8 5 5 4" xfId="11220" xr:uid="{4E87A49D-93FE-4818-9E15-67F4EB799D66}"/>
    <cellStyle name="Normal 8 5 6" xfId="2218" xr:uid="{00000000-0005-0000-0000-0000401E0000}"/>
    <cellStyle name="Normal 8 5 6 2" xfId="4447" xr:uid="{00000000-0005-0000-0000-0000411E0000}"/>
    <cellStyle name="Normal 8 5 6 2 2" xfId="8669" xr:uid="{00000000-0005-0000-0000-0000421E0000}"/>
    <cellStyle name="Normal 8 5 6 2 2 2" xfId="17995" xr:uid="{7B85F76B-014F-41ED-92E6-96BBFFD3F15D}"/>
    <cellStyle name="Normal 8 5 6 2 3" xfId="13778" xr:uid="{04225399-E305-468E-A1F9-67877B3310FA}"/>
    <cellStyle name="Normal 8 5 6 3" xfId="6524" xr:uid="{00000000-0005-0000-0000-0000431E0000}"/>
    <cellStyle name="Normal 8 5 6 3 2" xfId="15850" xr:uid="{6460BEC2-5020-4F86-B445-DE1D8FAEC2EB}"/>
    <cellStyle name="Normal 8 5 6 4" xfId="11633" xr:uid="{3DA28B38-AD70-4506-BFA8-5002E060AF4F}"/>
    <cellStyle name="Normal 8 5 7" xfId="2654" xr:uid="{00000000-0005-0000-0000-0000441E0000}"/>
    <cellStyle name="Normal 8 5 7 2" xfId="6937" xr:uid="{00000000-0005-0000-0000-0000451E0000}"/>
    <cellStyle name="Normal 8 5 7 2 2" xfId="16263" xr:uid="{A8299373-8E03-4CBB-88F0-70D84A74F8CE}"/>
    <cellStyle name="Normal 8 5 7 3" xfId="12046" xr:uid="{844A6736-76D6-4BCE-8AEF-BF226E9CA127}"/>
    <cellStyle name="Normal 8 5 8" xfId="4872" xr:uid="{00000000-0005-0000-0000-0000461E0000}"/>
    <cellStyle name="Normal 8 5 8 2" xfId="14198" xr:uid="{1D3C57A3-D806-42BB-8543-D21C231F4A02}"/>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58" xr:uid="{73C9E456-DBBA-4BFA-BABD-43B05A94BB03}"/>
    <cellStyle name="Normal 8 6 2 2 3" xfId="12541" xr:uid="{2F384084-24FF-4E5A-99E1-25600643E48B}"/>
    <cellStyle name="Normal 8 6 2 3" xfId="5287" xr:uid="{00000000-0005-0000-0000-00004B1E0000}"/>
    <cellStyle name="Normal 8 6 2 3 2" xfId="14613" xr:uid="{1351B40A-3004-4BAF-BD8F-9E37308EB03A}"/>
    <cellStyle name="Normal 8 6 2 4" xfId="9386" xr:uid="{45A5CE0D-B006-45BB-A53E-22B23F4367E3}"/>
    <cellStyle name="Normal 8 6 2 5" xfId="10396" xr:uid="{0749895A-EE87-4AAB-A634-E0C63FE249A6}"/>
    <cellStyle name="Normal 8 6 3" xfId="1393" xr:uid="{00000000-0005-0000-0000-00004C1E0000}"/>
    <cellStyle name="Normal 8 6 3 2" xfId="3623" xr:uid="{00000000-0005-0000-0000-00004D1E0000}"/>
    <cellStyle name="Normal 8 6 3 2 2" xfId="7845" xr:uid="{00000000-0005-0000-0000-00004E1E0000}"/>
    <cellStyle name="Normal 8 6 3 2 2 2" xfId="17171" xr:uid="{DCEFAA24-6C4B-4B3E-94D5-13BC6B6BD3F2}"/>
    <cellStyle name="Normal 8 6 3 2 3" xfId="12954" xr:uid="{D40CF9A9-173B-40F9-901A-351D075FA8AC}"/>
    <cellStyle name="Normal 8 6 3 3" xfId="5700" xr:uid="{00000000-0005-0000-0000-00004F1E0000}"/>
    <cellStyle name="Normal 8 6 3 3 2" xfId="15026" xr:uid="{507F0956-BB2F-4C8B-9CE3-167284B52CFE}"/>
    <cellStyle name="Normal 8 6 3 4" xfId="10809" xr:uid="{8063D1E1-594D-4AEF-AC26-55D5DE473A6B}"/>
    <cellStyle name="Normal 8 6 4" xfId="1806" xr:uid="{00000000-0005-0000-0000-0000501E0000}"/>
    <cellStyle name="Normal 8 6 4 2" xfId="4036" xr:uid="{00000000-0005-0000-0000-0000511E0000}"/>
    <cellStyle name="Normal 8 6 4 2 2" xfId="8258" xr:uid="{00000000-0005-0000-0000-0000521E0000}"/>
    <cellStyle name="Normal 8 6 4 2 2 2" xfId="17584" xr:uid="{DD6D12A5-966F-4264-9BA2-5DD5CADEA481}"/>
    <cellStyle name="Normal 8 6 4 2 3" xfId="13367" xr:uid="{16464A60-7794-4740-B0B1-C3F41263A200}"/>
    <cellStyle name="Normal 8 6 4 3" xfId="6113" xr:uid="{00000000-0005-0000-0000-0000531E0000}"/>
    <cellStyle name="Normal 8 6 4 3 2" xfId="15439" xr:uid="{ABBB643B-9295-4573-897B-A63C0CB41563}"/>
    <cellStyle name="Normal 8 6 4 4" xfId="11222" xr:uid="{13FF722F-ECA4-47C3-B55F-F72F405F56E1}"/>
    <cellStyle name="Normal 8 6 5" xfId="2220" xr:uid="{00000000-0005-0000-0000-0000541E0000}"/>
    <cellStyle name="Normal 8 6 5 2" xfId="4449" xr:uid="{00000000-0005-0000-0000-0000551E0000}"/>
    <cellStyle name="Normal 8 6 5 2 2" xfId="8671" xr:uid="{00000000-0005-0000-0000-0000561E0000}"/>
    <cellStyle name="Normal 8 6 5 2 2 2" xfId="17997" xr:uid="{9535336C-52F3-451B-A048-E3484B73E2E6}"/>
    <cellStyle name="Normal 8 6 5 2 3" xfId="13780" xr:uid="{4BC553D0-D94D-4B9D-9602-4BE77EAA2105}"/>
    <cellStyle name="Normal 8 6 5 3" xfId="6526" xr:uid="{00000000-0005-0000-0000-0000571E0000}"/>
    <cellStyle name="Normal 8 6 5 3 2" xfId="15852" xr:uid="{801FE10D-1E0C-4935-BEA7-DCB1C3EFD547}"/>
    <cellStyle name="Normal 8 6 5 4" xfId="11635" xr:uid="{6551C449-53A6-4182-848A-A9A97E616973}"/>
    <cellStyle name="Normal 8 6 6" xfId="2656" xr:uid="{00000000-0005-0000-0000-0000581E0000}"/>
    <cellStyle name="Normal 8 6 6 2" xfId="6939" xr:uid="{00000000-0005-0000-0000-0000591E0000}"/>
    <cellStyle name="Normal 8 6 6 2 2" xfId="16265" xr:uid="{3EA417B8-1358-4E2D-A60F-22D53240DCC1}"/>
    <cellStyle name="Normal 8 6 6 3" xfId="12048" xr:uid="{7D49B35E-745A-42F5-8364-C9CD9726AC12}"/>
    <cellStyle name="Normal 8 6 7" xfId="4874" xr:uid="{00000000-0005-0000-0000-00005A1E0000}"/>
    <cellStyle name="Normal 8 6 7 2" xfId="14200" xr:uid="{9B47C6E3-3299-4DB1-8B4C-93E6757F7532}"/>
    <cellStyle name="Normal 8 6 8" xfId="8961" xr:uid="{36060843-7B38-46C3-B2F1-7172ECB11EEE}"/>
    <cellStyle name="Normal 8 6 9" xfId="9983" xr:uid="{BE77E24D-AA84-47F2-B5A0-FC86FE9EB3C8}"/>
    <cellStyle name="Normal 8 7" xfId="945" xr:uid="{00000000-0005-0000-0000-00005B1E0000}"/>
    <cellStyle name="Normal 8 7 2" xfId="3179" xr:uid="{00000000-0005-0000-0000-00005C1E0000}"/>
    <cellStyle name="Normal 8 7 2 2" xfId="7401" xr:uid="{00000000-0005-0000-0000-00005D1E0000}"/>
    <cellStyle name="Normal 8 7 2 2 2" xfId="16727" xr:uid="{1DCA1174-5C5D-4F93-87CC-C6B07437E19E}"/>
    <cellStyle name="Normal 8 7 2 3" xfId="12510" xr:uid="{F8981EDE-9287-44F5-ADE7-867D8E540557}"/>
    <cellStyle name="Normal 8 7 3" xfId="5256" xr:uid="{00000000-0005-0000-0000-00005E1E0000}"/>
    <cellStyle name="Normal 8 7 3 2" xfId="14582" xr:uid="{4F1C7E0F-DC2A-4F00-8720-91CB58834FAB}"/>
    <cellStyle name="Normal 8 7 4" xfId="9164" xr:uid="{EA2ADDDA-E9AC-4FF8-B08B-61B1D6489A46}"/>
    <cellStyle name="Normal 8 7 5" xfId="10365" xr:uid="{11E5DE3F-4D99-42EB-A333-2E4248CA5CD3}"/>
    <cellStyle name="Normal 8 8" xfId="1362" xr:uid="{00000000-0005-0000-0000-00005F1E0000}"/>
    <cellStyle name="Normal 8 8 2" xfId="3592" xr:uid="{00000000-0005-0000-0000-0000601E0000}"/>
    <cellStyle name="Normal 8 8 2 2" xfId="7814" xr:uid="{00000000-0005-0000-0000-0000611E0000}"/>
    <cellStyle name="Normal 8 8 2 2 2" xfId="17140" xr:uid="{7F5F5549-FEC3-4546-9FAD-060737F010A1}"/>
    <cellStyle name="Normal 8 8 2 3" xfId="12923" xr:uid="{17F5C4BB-8C00-457D-8A60-75F36722A271}"/>
    <cellStyle name="Normal 8 8 3" xfId="5669" xr:uid="{00000000-0005-0000-0000-0000621E0000}"/>
    <cellStyle name="Normal 8 8 3 2" xfId="14995" xr:uid="{8755D102-4D24-4D9D-8969-3330B28BA3B4}"/>
    <cellStyle name="Normal 8 8 4" xfId="10778" xr:uid="{F20778A9-681E-462F-9353-ED0705BEF464}"/>
    <cellStyle name="Normal 8 9" xfId="1775" xr:uid="{00000000-0005-0000-0000-0000631E0000}"/>
    <cellStyle name="Normal 8 9 2" xfId="4005" xr:uid="{00000000-0005-0000-0000-0000641E0000}"/>
    <cellStyle name="Normal 8 9 2 2" xfId="8227" xr:uid="{00000000-0005-0000-0000-0000651E0000}"/>
    <cellStyle name="Normal 8 9 2 2 2" xfId="17553" xr:uid="{1F99A0C0-5877-446F-96FB-A675935B30FB}"/>
    <cellStyle name="Normal 8 9 2 3" xfId="13336" xr:uid="{7C6C58E1-F83E-4096-9ED3-8CD71D05AB37}"/>
    <cellStyle name="Normal 8 9 3" xfId="6082" xr:uid="{00000000-0005-0000-0000-0000661E0000}"/>
    <cellStyle name="Normal 8 9 3 2" xfId="15408" xr:uid="{E0250720-3A0C-4CFB-ADB7-3968D25DDDDF}"/>
    <cellStyle name="Normal 8 9 4" xfId="11191" xr:uid="{BE4BC491-70B3-4893-A1BD-C0498E83C9E2}"/>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1F695FFB-C3B9-47F6-B12B-938E8959ADFC}"/>
    <cellStyle name="Normal 9 2 10 3" xfId="12049" xr:uid="{4D34D8FF-DE8E-44B4-84C9-937E65753852}"/>
    <cellStyle name="Normal 9 2 11" xfId="4875" xr:uid="{00000000-0005-0000-0000-00006B1E0000}"/>
    <cellStyle name="Normal 9 2 11 2" xfId="14201" xr:uid="{35FD26F7-EF91-40E7-9482-8A67DB3E576C}"/>
    <cellStyle name="Normal 9 2 12" xfId="8754" xr:uid="{9024D06A-4C5F-4C89-BCDB-29B8C924FF52}"/>
    <cellStyle name="Normal 9 2 13" xfId="9984" xr:uid="{3AA05720-DAAF-4E12-8609-0CB6565F8B1F}"/>
    <cellStyle name="Normal 9 2 2" xfId="512" xr:uid="{00000000-0005-0000-0000-00006C1E0000}"/>
    <cellStyle name="Normal 9 2 2 10" xfId="4876" xr:uid="{00000000-0005-0000-0000-00006D1E0000}"/>
    <cellStyle name="Normal 9 2 2 10 2" xfId="14202" xr:uid="{70519EA2-A1E0-45EC-9A34-0101C203F406}"/>
    <cellStyle name="Normal 9 2 2 11" xfId="8785" xr:uid="{3048542E-ED39-45ED-9C91-0140D2CF60D9}"/>
    <cellStyle name="Normal 9 2 2 12" xfId="9985" xr:uid="{259F744A-D9D5-4B21-A8C6-D0298AB6C851}"/>
    <cellStyle name="Normal 9 2 2 2" xfId="513" xr:uid="{00000000-0005-0000-0000-00006E1E0000}"/>
    <cellStyle name="Normal 9 2 2 2 10" xfId="8839" xr:uid="{3B2DC7F4-4F49-4AE2-9279-EFD4857A149B}"/>
    <cellStyle name="Normal 9 2 2 2 11" xfId="9986" xr:uid="{F298F80B-5A57-47D7-BA69-265A2F350BE9}"/>
    <cellStyle name="Normal 9 2 2 2 2" xfId="514" xr:uid="{00000000-0005-0000-0000-00006F1E0000}"/>
    <cellStyle name="Normal 9 2 2 2 2 10" xfId="9987" xr:uid="{9E38627D-7CB9-46A8-905C-D19CC3655C8C}"/>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2EE985D6-6E08-4F01-8A6B-E52DA616AAE6}"/>
    <cellStyle name="Normal 9 2 2 2 2 2 2 2 3" xfId="12546" xr:uid="{C0CAB09E-7C7F-44B1-A858-6FE656C004A0}"/>
    <cellStyle name="Normal 9 2 2 2 2 2 2 3" xfId="5292" xr:uid="{00000000-0005-0000-0000-0000741E0000}"/>
    <cellStyle name="Normal 9 2 2 2 2 2 2 3 2" xfId="14618" xr:uid="{BC01D885-632F-46E3-BC4D-011F5EFA65D0}"/>
    <cellStyle name="Normal 9 2 2 2 2 2 2 4" xfId="9574" xr:uid="{00EB170D-8A20-4280-B781-E452C3590555}"/>
    <cellStyle name="Normal 9 2 2 2 2 2 2 5" xfId="10401" xr:uid="{ED710FA7-4130-4F64-AC23-CE6C9E1B81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F3543277-428A-49E5-99D9-5E34BB7B5F16}"/>
    <cellStyle name="Normal 9 2 2 2 2 2 3 2 3" xfId="12959" xr:uid="{D6260F20-9B6C-4D5D-9FB8-920749621DDA}"/>
    <cellStyle name="Normal 9 2 2 2 2 2 3 3" xfId="5705" xr:uid="{00000000-0005-0000-0000-0000781E0000}"/>
    <cellStyle name="Normal 9 2 2 2 2 2 3 3 2" xfId="15031" xr:uid="{F4B2C4F8-C636-4852-81E8-BD822B0A9494}"/>
    <cellStyle name="Normal 9 2 2 2 2 2 3 4" xfId="10814" xr:uid="{0359105F-1425-418D-A8C0-3ED1265F7A6A}"/>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46BAD357-835B-4ED4-8CE2-AE1D082F2A71}"/>
    <cellStyle name="Normal 9 2 2 2 2 2 4 2 3" xfId="13372" xr:uid="{3DAC44EA-22B3-4952-A190-B1F01F87EDAD}"/>
    <cellStyle name="Normal 9 2 2 2 2 2 4 3" xfId="6118" xr:uid="{00000000-0005-0000-0000-00007C1E0000}"/>
    <cellStyle name="Normal 9 2 2 2 2 2 4 3 2" xfId="15444" xr:uid="{B340D774-DC82-4430-97BF-B8BCDE5B65DE}"/>
    <cellStyle name="Normal 9 2 2 2 2 2 4 4" xfId="11227" xr:uid="{B97DE39C-5BDB-4AC9-9DA3-8F5A51F1E95F}"/>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6DD49B76-4D14-417C-9DF0-03DBE18EB0B3}"/>
    <cellStyle name="Normal 9 2 2 2 2 2 5 2 3" xfId="13785" xr:uid="{BC1320B9-1609-42A5-B114-A55CC57E5A9D}"/>
    <cellStyle name="Normal 9 2 2 2 2 2 5 3" xfId="6531" xr:uid="{00000000-0005-0000-0000-0000801E0000}"/>
    <cellStyle name="Normal 9 2 2 2 2 2 5 3 2" xfId="15857" xr:uid="{0CDBDDA0-0B32-445E-B11B-DD56A6890710}"/>
    <cellStyle name="Normal 9 2 2 2 2 2 5 4" xfId="11640" xr:uid="{92DD5508-BC02-4DC5-BE01-16871F8E259E}"/>
    <cellStyle name="Normal 9 2 2 2 2 2 6" xfId="2661" xr:uid="{00000000-0005-0000-0000-0000811E0000}"/>
    <cellStyle name="Normal 9 2 2 2 2 2 6 2" xfId="6944" xr:uid="{00000000-0005-0000-0000-0000821E0000}"/>
    <cellStyle name="Normal 9 2 2 2 2 2 6 2 2" xfId="16270" xr:uid="{453B974E-5CAC-4499-8743-4BC95DA0FDE8}"/>
    <cellStyle name="Normal 9 2 2 2 2 2 6 3" xfId="12053" xr:uid="{DBDE934D-4EAD-4088-8A16-B78E931D2FEA}"/>
    <cellStyle name="Normal 9 2 2 2 2 2 7" xfId="4879" xr:uid="{00000000-0005-0000-0000-0000831E0000}"/>
    <cellStyle name="Normal 9 2 2 2 2 2 7 2" xfId="14205" xr:uid="{EFD4ED15-2296-40A0-A714-847F540C5891}"/>
    <cellStyle name="Normal 9 2 2 2 2 2 8" xfId="9149" xr:uid="{6C0BEC1E-EE3B-4956-830C-8775C93DB46A}"/>
    <cellStyle name="Normal 9 2 2 2 2 2 9" xfId="9988" xr:uid="{DCFA9652-8E1F-426B-9377-B7C388D6C5AF}"/>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BD339838-E4A9-4D18-B8DC-30BB6D69C9D0}"/>
    <cellStyle name="Normal 9 2 2 2 2 3 2 3" xfId="12545" xr:uid="{DAA9BC02-CB43-4D87-81C6-3E8141E9F61A}"/>
    <cellStyle name="Normal 9 2 2 2 2 3 3" xfId="5291" xr:uid="{00000000-0005-0000-0000-0000871E0000}"/>
    <cellStyle name="Normal 9 2 2 2 2 3 3 2" xfId="14617" xr:uid="{4F7DCFD2-A2AB-49CD-B7BF-7461A32C672C}"/>
    <cellStyle name="Normal 9 2 2 2 2 3 4" xfId="9367" xr:uid="{4A654E22-020A-4B0F-8753-639C44EA908A}"/>
    <cellStyle name="Normal 9 2 2 2 2 3 5" xfId="10400" xr:uid="{AB542D05-926A-403D-BF99-8F1C2C3A52EB}"/>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EA27B881-4004-4FE6-B2B2-17334380C968}"/>
    <cellStyle name="Normal 9 2 2 2 2 4 2 3" xfId="12958" xr:uid="{4065665E-D383-46A1-8362-8B169AB70E0F}"/>
    <cellStyle name="Normal 9 2 2 2 2 4 3" xfId="5704" xr:uid="{00000000-0005-0000-0000-00008B1E0000}"/>
    <cellStyle name="Normal 9 2 2 2 2 4 3 2" xfId="15030" xr:uid="{BC571E91-3C07-4360-9244-6C814B789BE1}"/>
    <cellStyle name="Normal 9 2 2 2 2 4 4" xfId="10813" xr:uid="{0DD6C5B9-08B5-45F1-A504-A5E56E9112C8}"/>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9FBB9762-BF42-4EA1-8C56-18B6717C4DC0}"/>
    <cellStyle name="Normal 9 2 2 2 2 5 2 3" xfId="13371" xr:uid="{D8AD8CC5-B298-4952-B364-4D15348BEB54}"/>
    <cellStyle name="Normal 9 2 2 2 2 5 3" xfId="6117" xr:uid="{00000000-0005-0000-0000-00008F1E0000}"/>
    <cellStyle name="Normal 9 2 2 2 2 5 3 2" xfId="15443" xr:uid="{D1859B2E-BB9A-469A-A769-5DB713785805}"/>
    <cellStyle name="Normal 9 2 2 2 2 5 4" xfId="11226" xr:uid="{5FD4E685-EB86-4805-B8F9-B79ED349A421}"/>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11797D60-82F3-46A6-ABAA-41E44DCC2AB8}"/>
    <cellStyle name="Normal 9 2 2 2 2 6 2 3" xfId="13784" xr:uid="{71633589-C6D6-4FC5-951D-39778157B509}"/>
    <cellStyle name="Normal 9 2 2 2 2 6 3" xfId="6530" xr:uid="{00000000-0005-0000-0000-0000931E0000}"/>
    <cellStyle name="Normal 9 2 2 2 2 6 3 2" xfId="15856" xr:uid="{2129780B-D5FD-4C08-BE4A-305B74800570}"/>
    <cellStyle name="Normal 9 2 2 2 2 6 4" xfId="11639" xr:uid="{2513DC4E-E3D3-4F19-B252-28F2E6019ABF}"/>
    <cellStyle name="Normal 9 2 2 2 2 7" xfId="2660" xr:uid="{00000000-0005-0000-0000-0000941E0000}"/>
    <cellStyle name="Normal 9 2 2 2 2 7 2" xfId="6943" xr:uid="{00000000-0005-0000-0000-0000951E0000}"/>
    <cellStyle name="Normal 9 2 2 2 2 7 2 2" xfId="16269" xr:uid="{785D8792-EDAB-404C-9222-69C3DD2C986B}"/>
    <cellStyle name="Normal 9 2 2 2 2 7 3" xfId="12052" xr:uid="{AF9C5E24-B371-4F2B-B2A3-1BB43C931648}"/>
    <cellStyle name="Normal 9 2 2 2 2 8" xfId="4878" xr:uid="{00000000-0005-0000-0000-0000961E0000}"/>
    <cellStyle name="Normal 9 2 2 2 2 8 2" xfId="14204" xr:uid="{C836A928-C555-4D04-80C9-D6977DA28216}"/>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B6B8268B-E07D-4D35-9C43-7B4028A5D5C7}"/>
    <cellStyle name="Normal 9 2 2 2 3 2 2 3" xfId="12547" xr:uid="{5CDC894E-2B07-4409-90C7-753E3EFC896B}"/>
    <cellStyle name="Normal 9 2 2 2 3 2 3" xfId="5293" xr:uid="{00000000-0005-0000-0000-00009B1E0000}"/>
    <cellStyle name="Normal 9 2 2 2 3 2 3 2" xfId="14619" xr:uid="{E233AA66-4078-4933-8E31-2936ECABCA5C}"/>
    <cellStyle name="Normal 9 2 2 2 3 2 4" xfId="9471" xr:uid="{E472D827-532E-42C0-B781-9E63FEBCFCF5}"/>
    <cellStyle name="Normal 9 2 2 2 3 2 5" xfId="10402" xr:uid="{3B9090E3-FE4C-4E11-B98D-2ADD335904DC}"/>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11EDC020-9B02-462E-BF65-AAFA8179211D}"/>
    <cellStyle name="Normal 9 2 2 2 3 3 2 3" xfId="12960" xr:uid="{8C12E869-7201-442B-AEF5-8C1A47E484C1}"/>
    <cellStyle name="Normal 9 2 2 2 3 3 3" xfId="5706" xr:uid="{00000000-0005-0000-0000-00009F1E0000}"/>
    <cellStyle name="Normal 9 2 2 2 3 3 3 2" xfId="15032" xr:uid="{192DDFBD-82AA-41D9-B291-FB288849E71E}"/>
    <cellStyle name="Normal 9 2 2 2 3 3 4" xfId="10815" xr:uid="{78A99E0C-7CA7-4323-BC66-3F29CBA72DE9}"/>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85D4C5E8-CF2D-430B-A596-FF58C7ABEFED}"/>
    <cellStyle name="Normal 9 2 2 2 3 4 2 3" xfId="13373" xr:uid="{91D93429-DCD1-419B-A10A-F2A8C397043B}"/>
    <cellStyle name="Normal 9 2 2 2 3 4 3" xfId="6119" xr:uid="{00000000-0005-0000-0000-0000A31E0000}"/>
    <cellStyle name="Normal 9 2 2 2 3 4 3 2" xfId="15445" xr:uid="{4951860D-CEA5-4A58-A814-F702F5770CF6}"/>
    <cellStyle name="Normal 9 2 2 2 3 4 4" xfId="11228" xr:uid="{AE235317-B81C-46DD-ABC1-7282A9F1CED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B67EA020-E6E6-49DC-B353-9BB0579AC9B1}"/>
    <cellStyle name="Normal 9 2 2 2 3 5 2 3" xfId="13786" xr:uid="{64AF2740-FBCA-4F4B-AAC8-75D1F6364E2F}"/>
    <cellStyle name="Normal 9 2 2 2 3 5 3" xfId="6532" xr:uid="{00000000-0005-0000-0000-0000A71E0000}"/>
    <cellStyle name="Normal 9 2 2 2 3 5 3 2" xfId="15858" xr:uid="{95FA4640-33E7-4356-AB9B-827692E2FBC3}"/>
    <cellStyle name="Normal 9 2 2 2 3 5 4" xfId="11641" xr:uid="{AD1A0DB2-B156-4F85-B1CA-D60AF6078418}"/>
    <cellStyle name="Normal 9 2 2 2 3 6" xfId="2662" xr:uid="{00000000-0005-0000-0000-0000A81E0000}"/>
    <cellStyle name="Normal 9 2 2 2 3 6 2" xfId="6945" xr:uid="{00000000-0005-0000-0000-0000A91E0000}"/>
    <cellStyle name="Normal 9 2 2 2 3 6 2 2" xfId="16271" xr:uid="{29950913-65A4-4DFE-839D-7862A2255CE3}"/>
    <cellStyle name="Normal 9 2 2 2 3 6 3" xfId="12054" xr:uid="{85CDEE91-3529-4B16-B610-85B002F45C42}"/>
    <cellStyle name="Normal 9 2 2 2 3 7" xfId="4880" xr:uid="{00000000-0005-0000-0000-0000AA1E0000}"/>
    <cellStyle name="Normal 9 2 2 2 3 7 2" xfId="14206" xr:uid="{2AE0806E-80ED-4B94-AC65-5F5C80F8DDA5}"/>
    <cellStyle name="Normal 9 2 2 2 3 8" xfId="9046" xr:uid="{6B7E07C7-E90B-4AE9-8FE8-76EF28E8FC85}"/>
    <cellStyle name="Normal 9 2 2 2 3 9" xfId="9989" xr:uid="{B6D4C13D-2D7E-4FCF-ACAF-44E97F050FFD}"/>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06C96BD8-7A2E-417F-8BF5-B1FD75B4E70B}"/>
    <cellStyle name="Normal 9 2 2 2 4 2 3" xfId="12544" xr:uid="{54858D96-90C2-4D86-B9F5-03EC650DE9F2}"/>
    <cellStyle name="Normal 9 2 2 2 4 3" xfId="5290" xr:uid="{00000000-0005-0000-0000-0000AE1E0000}"/>
    <cellStyle name="Normal 9 2 2 2 4 3 2" xfId="14616" xr:uid="{AA108520-504E-4274-A59E-63211D1C9409}"/>
    <cellStyle name="Normal 9 2 2 2 4 4" xfId="9264" xr:uid="{0137E036-48D9-4B3B-9B73-0002A19DDE9E}"/>
    <cellStyle name="Normal 9 2 2 2 4 5" xfId="10399" xr:uid="{F27BBA80-5FEE-4A87-9F21-7A75AC34E73F}"/>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05B857B2-2D8F-40FF-8D01-C0447A17B53D}"/>
    <cellStyle name="Normal 9 2 2 2 5 2 3" xfId="12957" xr:uid="{4E8E8CCC-5D95-46A9-A7FF-85A59C2B8B18}"/>
    <cellStyle name="Normal 9 2 2 2 5 3" xfId="5703" xr:uid="{00000000-0005-0000-0000-0000B21E0000}"/>
    <cellStyle name="Normal 9 2 2 2 5 3 2" xfId="15029" xr:uid="{1B0EA1A1-D830-4EF2-AD21-5593DEECEB0F}"/>
    <cellStyle name="Normal 9 2 2 2 5 4" xfId="10812" xr:uid="{4908E098-0DCE-4ABB-AB91-B910AA32F430}"/>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42ADB9E4-5D1F-45F2-B058-DBE30EA98486}"/>
    <cellStyle name="Normal 9 2 2 2 6 2 3" xfId="13370" xr:uid="{E7A9B3B0-D7F5-45C4-A6CE-3FBEF1DB9028}"/>
    <cellStyle name="Normal 9 2 2 2 6 3" xfId="6116" xr:uid="{00000000-0005-0000-0000-0000B61E0000}"/>
    <cellStyle name="Normal 9 2 2 2 6 3 2" xfId="15442" xr:uid="{752F685A-EEDE-41D7-8088-DA62DD77358E}"/>
    <cellStyle name="Normal 9 2 2 2 6 4" xfId="11225" xr:uid="{B37670F2-39A0-442B-8982-19F8226448A1}"/>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21DCCACF-9564-4142-BE69-D90C1664254B}"/>
    <cellStyle name="Normal 9 2 2 2 7 2 3" xfId="13783" xr:uid="{37080C35-5891-4B5E-9C62-EFF0008E8472}"/>
    <cellStyle name="Normal 9 2 2 2 7 3" xfId="6529" xr:uid="{00000000-0005-0000-0000-0000BA1E0000}"/>
    <cellStyle name="Normal 9 2 2 2 7 3 2" xfId="15855" xr:uid="{A5AA6811-8E39-4C51-A067-B5A58578A5A9}"/>
    <cellStyle name="Normal 9 2 2 2 7 4" xfId="11638" xr:uid="{036BB1AD-0EF1-4695-81A6-CA129E8727CA}"/>
    <cellStyle name="Normal 9 2 2 2 8" xfId="2659" xr:uid="{00000000-0005-0000-0000-0000BB1E0000}"/>
    <cellStyle name="Normal 9 2 2 2 8 2" xfId="6942" xr:uid="{00000000-0005-0000-0000-0000BC1E0000}"/>
    <cellStyle name="Normal 9 2 2 2 8 2 2" xfId="16268" xr:uid="{91798A32-1881-4091-9AFB-BFE1DFCFFF76}"/>
    <cellStyle name="Normal 9 2 2 2 8 3" xfId="12051" xr:uid="{498B1A5C-FF23-4D9B-94AC-F4E604FDA34C}"/>
    <cellStyle name="Normal 9 2 2 2 9" xfId="4877" xr:uid="{00000000-0005-0000-0000-0000BD1E0000}"/>
    <cellStyle name="Normal 9 2 2 2 9 2" xfId="14203" xr:uid="{A23E6E9A-207E-42F6-A630-80FB3D7799D1}"/>
    <cellStyle name="Normal 9 2 2 3" xfId="517" xr:uid="{00000000-0005-0000-0000-0000BE1E0000}"/>
    <cellStyle name="Normal 9 2 2 3 10" xfId="9990" xr:uid="{C3BB1A99-B72D-463D-AD09-C3CEDC9F6DA8}"/>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28A55644-FA3D-43D3-A82E-6253BA8C0824}"/>
    <cellStyle name="Normal 9 2 2 3 2 2 2 3" xfId="12549" xr:uid="{C62D92E0-4B56-4222-92FE-B2BDF003C0FF}"/>
    <cellStyle name="Normal 9 2 2 3 2 2 3" xfId="5295" xr:uid="{00000000-0005-0000-0000-0000C31E0000}"/>
    <cellStyle name="Normal 9 2 2 3 2 2 3 2" xfId="14621" xr:uid="{2F31DDB9-B818-44FC-A1E4-26D00DC297FB}"/>
    <cellStyle name="Normal 9 2 2 3 2 2 4" xfId="9520" xr:uid="{57CFBD10-691F-4DF8-8020-B75E98FF60DD}"/>
    <cellStyle name="Normal 9 2 2 3 2 2 5" xfId="10404" xr:uid="{D717BBF3-7472-4FD9-A5A0-B39053635301}"/>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11FCE68B-20DB-4A99-98FB-5E0063253803}"/>
    <cellStyle name="Normal 9 2 2 3 2 3 2 3" xfId="12962" xr:uid="{AB95414B-DE52-4C32-A304-0CA718861D0E}"/>
    <cellStyle name="Normal 9 2 2 3 2 3 3" xfId="5708" xr:uid="{00000000-0005-0000-0000-0000C71E0000}"/>
    <cellStyle name="Normal 9 2 2 3 2 3 3 2" xfId="15034" xr:uid="{BB3EA111-87D8-4D23-B695-BDE0F303C790}"/>
    <cellStyle name="Normal 9 2 2 3 2 3 4" xfId="10817" xr:uid="{D5B95C74-2710-4D09-BB87-046CEE7B7401}"/>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DFD169EF-341A-4A12-8BD2-B201B6A5731C}"/>
    <cellStyle name="Normal 9 2 2 3 2 4 2 3" xfId="13375" xr:uid="{05217F8A-E07B-4D2D-9A18-743BB533E20E}"/>
    <cellStyle name="Normal 9 2 2 3 2 4 3" xfId="6121" xr:uid="{00000000-0005-0000-0000-0000CB1E0000}"/>
    <cellStyle name="Normal 9 2 2 3 2 4 3 2" xfId="15447" xr:uid="{FA9A7C45-0D85-4F50-AD1A-3E0CC57447D7}"/>
    <cellStyle name="Normal 9 2 2 3 2 4 4" xfId="11230" xr:uid="{40241C56-722D-48AB-94FD-894E05593D77}"/>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EDA5C3E5-C9B7-4B41-917D-4D58A3B82330}"/>
    <cellStyle name="Normal 9 2 2 3 2 5 2 3" xfId="13788" xr:uid="{D20ED36B-B63E-4630-92EC-8F76F4CCF930}"/>
    <cellStyle name="Normal 9 2 2 3 2 5 3" xfId="6534" xr:uid="{00000000-0005-0000-0000-0000CF1E0000}"/>
    <cellStyle name="Normal 9 2 2 3 2 5 3 2" xfId="15860" xr:uid="{F9AFE66C-186C-4C0D-8C34-A917BDA35729}"/>
    <cellStyle name="Normal 9 2 2 3 2 5 4" xfId="11643" xr:uid="{2A373A92-1D33-4972-91E7-5BDF15551299}"/>
    <cellStyle name="Normal 9 2 2 3 2 6" xfId="2664" xr:uid="{00000000-0005-0000-0000-0000D01E0000}"/>
    <cellStyle name="Normal 9 2 2 3 2 6 2" xfId="6947" xr:uid="{00000000-0005-0000-0000-0000D11E0000}"/>
    <cellStyle name="Normal 9 2 2 3 2 6 2 2" xfId="16273" xr:uid="{4FE78F4D-7185-4E01-A7DA-EB90F2ED1E5E}"/>
    <cellStyle name="Normal 9 2 2 3 2 6 3" xfId="12056" xr:uid="{0BF918CE-AB2D-4347-90E2-BC8FFA53BAB4}"/>
    <cellStyle name="Normal 9 2 2 3 2 7" xfId="4882" xr:uid="{00000000-0005-0000-0000-0000D21E0000}"/>
    <cellStyle name="Normal 9 2 2 3 2 7 2" xfId="14208" xr:uid="{3A326C56-C10F-4ABD-BE54-CBFBD2D072B1}"/>
    <cellStyle name="Normal 9 2 2 3 2 8" xfId="9095" xr:uid="{D95088B7-D227-4E97-A9B9-DA61436DD386}"/>
    <cellStyle name="Normal 9 2 2 3 2 9" xfId="9991" xr:uid="{E17241AE-1E23-4EAF-BD1B-FD9FDB0124B7}"/>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4FF2A9B4-1194-4964-9C77-CA296404EBEE}"/>
    <cellStyle name="Normal 9 2 2 3 3 2 3" xfId="12548" xr:uid="{2786AF57-BFA0-4281-B3F2-E29F7D1B7C07}"/>
    <cellStyle name="Normal 9 2 2 3 3 3" xfId="5294" xr:uid="{00000000-0005-0000-0000-0000D61E0000}"/>
    <cellStyle name="Normal 9 2 2 3 3 3 2" xfId="14620" xr:uid="{1D0DFA4B-EB8A-4A14-ACC6-E229C1DA91E2}"/>
    <cellStyle name="Normal 9 2 2 3 3 4" xfId="9313" xr:uid="{FDDC600D-FDDD-4FFC-9820-DFD7E0768F33}"/>
    <cellStyle name="Normal 9 2 2 3 3 5" xfId="10403" xr:uid="{9063B569-E2A8-41F8-840D-5028A7F21AE9}"/>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98EAA342-F706-49BB-B268-EA33668922AD}"/>
    <cellStyle name="Normal 9 2 2 3 4 2 3" xfId="12961" xr:uid="{7157689E-813D-4BB9-B595-F3ED99ECC5B1}"/>
    <cellStyle name="Normal 9 2 2 3 4 3" xfId="5707" xr:uid="{00000000-0005-0000-0000-0000DA1E0000}"/>
    <cellStyle name="Normal 9 2 2 3 4 3 2" xfId="15033" xr:uid="{811BB891-6AFB-4E2B-9303-F8E883F6278C}"/>
    <cellStyle name="Normal 9 2 2 3 4 4" xfId="10816" xr:uid="{8524613B-FE09-4D7C-A735-95B3EA5BA2A4}"/>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D65F8B5A-EBC3-405F-8F16-709E37F5252F}"/>
    <cellStyle name="Normal 9 2 2 3 5 2 3" xfId="13374" xr:uid="{4E946674-6152-4AD5-A442-770E43772BB6}"/>
    <cellStyle name="Normal 9 2 2 3 5 3" xfId="6120" xr:uid="{00000000-0005-0000-0000-0000DE1E0000}"/>
    <cellStyle name="Normal 9 2 2 3 5 3 2" xfId="15446" xr:uid="{79DCDA4B-9278-414A-B4CE-3AB9FFAE163A}"/>
    <cellStyle name="Normal 9 2 2 3 5 4" xfId="11229" xr:uid="{E93A767A-3958-48D3-94E6-4FD7FB2ABC73}"/>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5A521B59-9FFB-443F-A124-76D6BBF076B9}"/>
    <cellStyle name="Normal 9 2 2 3 6 2 3" xfId="13787" xr:uid="{7CD5187B-12E8-4590-B8C4-9ECE67F0DA1E}"/>
    <cellStyle name="Normal 9 2 2 3 6 3" xfId="6533" xr:uid="{00000000-0005-0000-0000-0000E21E0000}"/>
    <cellStyle name="Normal 9 2 2 3 6 3 2" xfId="15859" xr:uid="{FD3EA7A4-5EF4-406B-8167-144AB58DEA39}"/>
    <cellStyle name="Normal 9 2 2 3 6 4" xfId="11642" xr:uid="{72A90E3E-AFAF-4010-A9CB-47C8C7C0C8F9}"/>
    <cellStyle name="Normal 9 2 2 3 7" xfId="2663" xr:uid="{00000000-0005-0000-0000-0000E31E0000}"/>
    <cellStyle name="Normal 9 2 2 3 7 2" xfId="6946" xr:uid="{00000000-0005-0000-0000-0000E41E0000}"/>
    <cellStyle name="Normal 9 2 2 3 7 2 2" xfId="16272" xr:uid="{2CE41553-A9C9-47BE-BAA7-66FE1B3AD37E}"/>
    <cellStyle name="Normal 9 2 2 3 7 3" xfId="12055" xr:uid="{7AA5CF74-185A-42DE-BF54-890C35AD956C}"/>
    <cellStyle name="Normal 9 2 2 3 8" xfId="4881" xr:uid="{00000000-0005-0000-0000-0000E51E0000}"/>
    <cellStyle name="Normal 9 2 2 3 8 2" xfId="14207" xr:uid="{0E07A4B6-66F8-4B33-A076-BFC49A94BBAA}"/>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8DF576CB-10A0-4284-8FD5-203636F8B837}"/>
    <cellStyle name="Normal 9 2 2 4 2 2 3" xfId="12550" xr:uid="{14F77284-FAE4-405F-AD41-31A8997366BC}"/>
    <cellStyle name="Normal 9 2 2 4 2 3" xfId="5296" xr:uid="{00000000-0005-0000-0000-0000EA1E0000}"/>
    <cellStyle name="Normal 9 2 2 4 2 3 2" xfId="14622" xr:uid="{E174C19B-2838-481C-8984-C247E3F266A6}"/>
    <cellStyle name="Normal 9 2 2 4 2 4" xfId="9417" xr:uid="{FDB8A679-B5B8-4E9B-808D-E68F6CA01958}"/>
    <cellStyle name="Normal 9 2 2 4 2 5" xfId="10405" xr:uid="{9AA1FAAD-C117-46AF-B2DE-2A9BB15E07B6}"/>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C6EDCBD1-DF61-444E-A19D-E71E94918F23}"/>
    <cellStyle name="Normal 9 2 2 4 3 2 3" xfId="12963" xr:uid="{C6CF8F5F-C921-46AA-8AE8-69CFCFC918E7}"/>
    <cellStyle name="Normal 9 2 2 4 3 3" xfId="5709" xr:uid="{00000000-0005-0000-0000-0000EE1E0000}"/>
    <cellStyle name="Normal 9 2 2 4 3 3 2" xfId="15035" xr:uid="{CF37342E-94CD-4D71-97DB-B09340628A25}"/>
    <cellStyle name="Normal 9 2 2 4 3 4" xfId="10818" xr:uid="{C50BFA59-E063-41E4-ABC4-6BB14045CBA9}"/>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6D52D9DA-98BE-488C-A029-53F10C6FD3E4}"/>
    <cellStyle name="Normal 9 2 2 4 4 2 3" xfId="13376" xr:uid="{7D3668DB-3C72-4DA6-B4A2-F02A0D77B2A7}"/>
    <cellStyle name="Normal 9 2 2 4 4 3" xfId="6122" xr:uid="{00000000-0005-0000-0000-0000F21E0000}"/>
    <cellStyle name="Normal 9 2 2 4 4 3 2" xfId="15448" xr:uid="{15056AB7-A442-4070-A93D-594D8073C51A}"/>
    <cellStyle name="Normal 9 2 2 4 4 4" xfId="11231" xr:uid="{71C0967B-E302-4F7E-BE0B-A2AB92AF0733}"/>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D11B54EF-6761-4AD0-A756-2B7466ED81C2}"/>
    <cellStyle name="Normal 9 2 2 4 5 2 3" xfId="13789" xr:uid="{96521A2F-D4B6-4E68-8D92-371627AED035}"/>
    <cellStyle name="Normal 9 2 2 4 5 3" xfId="6535" xr:uid="{00000000-0005-0000-0000-0000F61E0000}"/>
    <cellStyle name="Normal 9 2 2 4 5 3 2" xfId="15861" xr:uid="{B4EBD513-4191-4414-8994-86508D6E0819}"/>
    <cellStyle name="Normal 9 2 2 4 5 4" xfId="11644" xr:uid="{0197CF5F-255F-4D34-9247-E6ED201621C0}"/>
    <cellStyle name="Normal 9 2 2 4 6" xfId="2665" xr:uid="{00000000-0005-0000-0000-0000F71E0000}"/>
    <cellStyle name="Normal 9 2 2 4 6 2" xfId="6948" xr:uid="{00000000-0005-0000-0000-0000F81E0000}"/>
    <cellStyle name="Normal 9 2 2 4 6 2 2" xfId="16274" xr:uid="{1E97AAC1-56C2-4A18-A62D-D37BA722A67B}"/>
    <cellStyle name="Normal 9 2 2 4 6 3" xfId="12057" xr:uid="{685AA3C5-71DE-49BD-9D0D-740EA6E722EF}"/>
    <cellStyle name="Normal 9 2 2 4 7" xfId="4883" xr:uid="{00000000-0005-0000-0000-0000F91E0000}"/>
    <cellStyle name="Normal 9 2 2 4 7 2" xfId="14209" xr:uid="{64032FA3-4BAC-4C8F-B322-546E6B8AA899}"/>
    <cellStyle name="Normal 9 2 2 4 8" xfId="8992" xr:uid="{8AFFF8AD-8552-4B33-AAFF-7DACAE25085E}"/>
    <cellStyle name="Normal 9 2 2 4 9" xfId="9992" xr:uid="{EB4A1CFF-89E3-4994-BE51-878A56130DB1}"/>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43B24C07-3F22-40AD-ACAD-416896BFECC4}"/>
    <cellStyle name="Normal 9 2 2 5 2 3" xfId="12543" xr:uid="{664729EF-79ED-4D62-AFB4-C7A56CDA32B8}"/>
    <cellStyle name="Normal 9 2 2 5 3" xfId="5289" xr:uid="{00000000-0005-0000-0000-0000FD1E0000}"/>
    <cellStyle name="Normal 9 2 2 5 3 2" xfId="14615" xr:uid="{080D292C-B60C-41E0-8B03-0C6AD713B8C8}"/>
    <cellStyle name="Normal 9 2 2 5 4" xfId="9209" xr:uid="{66E66B93-842C-41D8-A807-A065C03CFEBD}"/>
    <cellStyle name="Normal 9 2 2 5 5" xfId="10398" xr:uid="{ECF8A569-325C-47FE-A170-6CF5B7C81656}"/>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962F3E1C-98C1-446A-9C38-53E8E947949C}"/>
    <cellStyle name="Normal 9 2 2 6 2 3" xfId="12956" xr:uid="{0F1D9C6B-9A79-4B63-AB56-13EC3CD96923}"/>
    <cellStyle name="Normal 9 2 2 6 3" xfId="5702" xr:uid="{00000000-0005-0000-0000-0000011F0000}"/>
    <cellStyle name="Normal 9 2 2 6 3 2" xfId="15028" xr:uid="{242F60C5-CF1D-4A4C-B03A-2D36AD2D5320}"/>
    <cellStyle name="Normal 9 2 2 6 4" xfId="10811" xr:uid="{FB82486E-BCCB-484B-8661-7DD31B822453}"/>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487D2A89-25C9-4063-A974-791D69B9C12C}"/>
    <cellStyle name="Normal 9 2 2 7 2 3" xfId="13369" xr:uid="{3E44A6F5-C149-49CD-B469-280939BFC8F5}"/>
    <cellStyle name="Normal 9 2 2 7 3" xfId="6115" xr:uid="{00000000-0005-0000-0000-0000051F0000}"/>
    <cellStyle name="Normal 9 2 2 7 3 2" xfId="15441" xr:uid="{AD43B2BE-0607-45DB-9DCA-7D5170FBF635}"/>
    <cellStyle name="Normal 9 2 2 7 4" xfId="11224" xr:uid="{7330B410-DFE7-4B98-981D-6D46AC50DAE5}"/>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5F36B9D1-262E-48B3-AB72-88FF1CD54837}"/>
    <cellStyle name="Normal 9 2 2 8 2 3" xfId="13782" xr:uid="{137F8614-6B84-4F15-9999-6FC82716126D}"/>
    <cellStyle name="Normal 9 2 2 8 3" xfId="6528" xr:uid="{00000000-0005-0000-0000-0000091F0000}"/>
    <cellStyle name="Normal 9 2 2 8 3 2" xfId="15854" xr:uid="{98C56C0D-B8DC-4EBA-916B-387B079457FB}"/>
    <cellStyle name="Normal 9 2 2 8 4" xfId="11637" xr:uid="{87BB7DE7-9AC1-43B4-907A-31F48CFC4A5B}"/>
    <cellStyle name="Normal 9 2 2 9" xfId="2658" xr:uid="{00000000-0005-0000-0000-00000A1F0000}"/>
    <cellStyle name="Normal 9 2 2 9 2" xfId="6941" xr:uid="{00000000-0005-0000-0000-00000B1F0000}"/>
    <cellStyle name="Normal 9 2 2 9 2 2" xfId="16267" xr:uid="{7802182F-6EBC-4CA2-8A79-8167F12A48D4}"/>
    <cellStyle name="Normal 9 2 2 9 3" xfId="12050" xr:uid="{E1E454B5-7160-4E2D-B061-2878670E7562}"/>
    <cellStyle name="Normal 9 2 3" xfId="520" xr:uid="{00000000-0005-0000-0000-00000C1F0000}"/>
    <cellStyle name="Normal 9 2 3 10" xfId="8838" xr:uid="{3F59BADF-95CF-4831-9CE1-8ACBDD585DF1}"/>
    <cellStyle name="Normal 9 2 3 11" xfId="9993" xr:uid="{5A94F74C-98B9-49E6-939B-54E90FA6D5F1}"/>
    <cellStyle name="Normal 9 2 3 2" xfId="521" xr:uid="{00000000-0005-0000-0000-00000D1F0000}"/>
    <cellStyle name="Normal 9 2 3 2 10" xfId="9994" xr:uid="{8EA185B7-9C00-4A07-9D6E-92C1B8EAAD4C}"/>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A58D6099-2028-4E64-9ACD-52714A6D6D61}"/>
    <cellStyle name="Normal 9 2 3 2 2 2 2 3" xfId="12553" xr:uid="{7BB6545E-29C4-46DA-948C-5DE323D0E558}"/>
    <cellStyle name="Normal 9 2 3 2 2 2 3" xfId="5299" xr:uid="{00000000-0005-0000-0000-0000121F0000}"/>
    <cellStyle name="Normal 9 2 3 2 2 2 3 2" xfId="14625" xr:uid="{D024D119-ABAF-48D2-820C-E5E1C8C52572}"/>
    <cellStyle name="Normal 9 2 3 2 2 2 4" xfId="9573" xr:uid="{376F8566-2407-40B8-9531-D3E757BE7A23}"/>
    <cellStyle name="Normal 9 2 3 2 2 2 5" xfId="10408" xr:uid="{1B3BE9B3-663E-47C0-9E61-B9D897308BD4}"/>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A071AA1F-96F9-4C61-81A4-55F0B5C7BAF1}"/>
    <cellStyle name="Normal 9 2 3 2 2 3 2 3" xfId="12966" xr:uid="{F3033B05-6D7F-40C9-90A3-03BE827DE07F}"/>
    <cellStyle name="Normal 9 2 3 2 2 3 3" xfId="5712" xr:uid="{00000000-0005-0000-0000-0000161F0000}"/>
    <cellStyle name="Normal 9 2 3 2 2 3 3 2" xfId="15038" xr:uid="{32315146-217B-442E-A740-E4CCB5BE2DB0}"/>
    <cellStyle name="Normal 9 2 3 2 2 3 4" xfId="10821" xr:uid="{79537768-6480-4F38-AF3A-D12AD494113F}"/>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096B0836-0489-4213-9A50-25A2DA6BAB2C}"/>
    <cellStyle name="Normal 9 2 3 2 2 4 2 3" xfId="13379" xr:uid="{EA41CF47-37C3-436B-9FC0-8D4FC5B599C7}"/>
    <cellStyle name="Normal 9 2 3 2 2 4 3" xfId="6125" xr:uid="{00000000-0005-0000-0000-00001A1F0000}"/>
    <cellStyle name="Normal 9 2 3 2 2 4 3 2" xfId="15451" xr:uid="{23484AAB-6066-4C62-BE42-5D47C14C17FB}"/>
    <cellStyle name="Normal 9 2 3 2 2 4 4" xfId="11234" xr:uid="{EE7CD76B-9053-41B5-A9BF-EB34EEBDA282}"/>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B69B8D93-05C2-4375-833D-23E776708C26}"/>
    <cellStyle name="Normal 9 2 3 2 2 5 2 3" xfId="13792" xr:uid="{AEB410B6-A36F-4899-8B24-B6AB540D55A4}"/>
    <cellStyle name="Normal 9 2 3 2 2 5 3" xfId="6538" xr:uid="{00000000-0005-0000-0000-00001E1F0000}"/>
    <cellStyle name="Normal 9 2 3 2 2 5 3 2" xfId="15864" xr:uid="{B3B705D7-5929-4950-BA7C-74D6C478E9BA}"/>
    <cellStyle name="Normal 9 2 3 2 2 5 4" xfId="11647" xr:uid="{3FFA785D-84EB-4BA8-B456-0F798F2F1346}"/>
    <cellStyle name="Normal 9 2 3 2 2 6" xfId="2668" xr:uid="{00000000-0005-0000-0000-00001F1F0000}"/>
    <cellStyle name="Normal 9 2 3 2 2 6 2" xfId="6951" xr:uid="{00000000-0005-0000-0000-0000201F0000}"/>
    <cellStyle name="Normal 9 2 3 2 2 6 2 2" xfId="16277" xr:uid="{CCA6FA34-2E31-404E-97BD-A685E7DA829F}"/>
    <cellStyle name="Normal 9 2 3 2 2 6 3" xfId="12060" xr:uid="{28349219-0806-4C7A-B22E-31F3B9A8ECB5}"/>
    <cellStyle name="Normal 9 2 3 2 2 7" xfId="4886" xr:uid="{00000000-0005-0000-0000-0000211F0000}"/>
    <cellStyle name="Normal 9 2 3 2 2 7 2" xfId="14212" xr:uid="{7973E85E-A695-421D-9AE4-13D265FBA2F6}"/>
    <cellStyle name="Normal 9 2 3 2 2 8" xfId="9148" xr:uid="{E1A2F3F0-C8EA-47FA-BB37-18F117041A87}"/>
    <cellStyle name="Normal 9 2 3 2 2 9" xfId="9995" xr:uid="{5C875803-011B-45F5-A818-CB52B854A630}"/>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DF6BBC01-4F5E-4E3D-BA20-11B0F06658C7}"/>
    <cellStyle name="Normal 9 2 3 2 3 2 3" xfId="12552" xr:uid="{22C63C64-30F0-42CB-AD07-34C48B863DD2}"/>
    <cellStyle name="Normal 9 2 3 2 3 3" xfId="5298" xr:uid="{00000000-0005-0000-0000-0000251F0000}"/>
    <cellStyle name="Normal 9 2 3 2 3 3 2" xfId="14624" xr:uid="{94A681AA-B013-4CB0-8E56-61D3FF367274}"/>
    <cellStyle name="Normal 9 2 3 2 3 4" xfId="9366" xr:uid="{136A6B94-9CAA-4F6C-B09D-7385900FCA38}"/>
    <cellStyle name="Normal 9 2 3 2 3 5" xfId="10407" xr:uid="{24DF2493-7863-47F7-BF57-5D29B2ED6928}"/>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C5B993EE-34A1-4DD8-A340-50BBD287E3AA}"/>
    <cellStyle name="Normal 9 2 3 2 4 2 3" xfId="12965" xr:uid="{C228948D-63B7-4A59-A81F-6DD3C67BB18B}"/>
    <cellStyle name="Normal 9 2 3 2 4 3" xfId="5711" xr:uid="{00000000-0005-0000-0000-0000291F0000}"/>
    <cellStyle name="Normal 9 2 3 2 4 3 2" xfId="15037" xr:uid="{4F772CBB-6AB6-44C4-8E57-30A7ABAC1839}"/>
    <cellStyle name="Normal 9 2 3 2 4 4" xfId="10820" xr:uid="{B29B7067-21F3-4336-883A-20287E9A3405}"/>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C547B208-58E3-4FD1-B73B-62E70094914F}"/>
    <cellStyle name="Normal 9 2 3 2 5 2 3" xfId="13378" xr:uid="{F2203D26-F501-45BD-B2B4-BD386CA45309}"/>
    <cellStyle name="Normal 9 2 3 2 5 3" xfId="6124" xr:uid="{00000000-0005-0000-0000-00002D1F0000}"/>
    <cellStyle name="Normal 9 2 3 2 5 3 2" xfId="15450" xr:uid="{40AE8CF5-93F2-439D-9965-6121A34779EA}"/>
    <cellStyle name="Normal 9 2 3 2 5 4" xfId="11233" xr:uid="{F2DCDC75-8D2E-4728-85BB-E1BE20BB238E}"/>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9EC658F0-E891-4635-BC72-CE803A75DFB1}"/>
    <cellStyle name="Normal 9 2 3 2 6 2 3" xfId="13791" xr:uid="{697AE35F-E966-4F98-A478-AF7BEB8BDC2E}"/>
    <cellStyle name="Normal 9 2 3 2 6 3" xfId="6537" xr:uid="{00000000-0005-0000-0000-0000311F0000}"/>
    <cellStyle name="Normal 9 2 3 2 6 3 2" xfId="15863" xr:uid="{040D8AEC-007B-4F90-AC60-C815DEA46F7B}"/>
    <cellStyle name="Normal 9 2 3 2 6 4" xfId="11646" xr:uid="{49184384-EAC2-4471-AF1D-1845A5AFD18D}"/>
    <cellStyle name="Normal 9 2 3 2 7" xfId="2667" xr:uid="{00000000-0005-0000-0000-0000321F0000}"/>
    <cellStyle name="Normal 9 2 3 2 7 2" xfId="6950" xr:uid="{00000000-0005-0000-0000-0000331F0000}"/>
    <cellStyle name="Normal 9 2 3 2 7 2 2" xfId="16276" xr:uid="{7587FD94-D4FB-4BA8-9ED1-D8F20B6BFC9F}"/>
    <cellStyle name="Normal 9 2 3 2 7 3" xfId="12059" xr:uid="{DD1AD0B0-49BF-49CC-A4B4-A8A30C3DFC12}"/>
    <cellStyle name="Normal 9 2 3 2 8" xfId="4885" xr:uid="{00000000-0005-0000-0000-0000341F0000}"/>
    <cellStyle name="Normal 9 2 3 2 8 2" xfId="14211" xr:uid="{92C4F842-F325-4BB6-BC75-AF057851769A}"/>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20C75627-1850-4189-A4A6-B1951D73B692}"/>
    <cellStyle name="Normal 9 2 3 3 2 2 3" xfId="12554" xr:uid="{0C1C2384-1BE3-4AE4-9E5A-EE1E93A313E5}"/>
    <cellStyle name="Normal 9 2 3 3 2 3" xfId="5300" xr:uid="{00000000-0005-0000-0000-0000391F0000}"/>
    <cellStyle name="Normal 9 2 3 3 2 3 2" xfId="14626" xr:uid="{3A10116D-409B-42C1-80A0-86696A2DF6B5}"/>
    <cellStyle name="Normal 9 2 3 3 2 4" xfId="9470" xr:uid="{B46EA5E7-4A9D-405A-94B0-2C155F0DE1F1}"/>
    <cellStyle name="Normal 9 2 3 3 2 5" xfId="10409" xr:uid="{87E9CB7D-6DC1-4835-8008-4A7505FDD097}"/>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FEBE2CFA-DDA0-4199-9D7B-F0E587C57170}"/>
    <cellStyle name="Normal 9 2 3 3 3 2 3" xfId="12967" xr:uid="{C1B0355D-4621-4513-BA8A-0AC3F1783BEC}"/>
    <cellStyle name="Normal 9 2 3 3 3 3" xfId="5713" xr:uid="{00000000-0005-0000-0000-00003D1F0000}"/>
    <cellStyle name="Normal 9 2 3 3 3 3 2" xfId="15039" xr:uid="{EA5AE4BA-6178-4652-A54C-96DA00BB790D}"/>
    <cellStyle name="Normal 9 2 3 3 3 4" xfId="10822" xr:uid="{0CBBE6A9-8D5F-48E0-AA52-CE2F59861C37}"/>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679CDDAD-1202-48F2-886A-8935581A26A0}"/>
    <cellStyle name="Normal 9 2 3 3 4 2 3" xfId="13380" xr:uid="{8C198482-13F0-4812-A3FF-2E62BFB5B87A}"/>
    <cellStyle name="Normal 9 2 3 3 4 3" xfId="6126" xr:uid="{00000000-0005-0000-0000-0000411F0000}"/>
    <cellStyle name="Normal 9 2 3 3 4 3 2" xfId="15452" xr:uid="{AA0B77D1-C492-4F59-837E-1B0FB106BB33}"/>
    <cellStyle name="Normal 9 2 3 3 4 4" xfId="11235" xr:uid="{0A3C17D8-63B8-4E56-AB50-93F85544CAD3}"/>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AF3132E2-DB9D-433F-853D-2B4A69A54DBA}"/>
    <cellStyle name="Normal 9 2 3 3 5 2 3" xfId="13793" xr:uid="{967EE2A6-E611-4949-8DB5-D155D9608D65}"/>
    <cellStyle name="Normal 9 2 3 3 5 3" xfId="6539" xr:uid="{00000000-0005-0000-0000-0000451F0000}"/>
    <cellStyle name="Normal 9 2 3 3 5 3 2" xfId="15865" xr:uid="{064F7D3A-D7B4-4542-AF6F-B16BB8FF3B62}"/>
    <cellStyle name="Normal 9 2 3 3 5 4" xfId="11648" xr:uid="{D4BAB9CD-943D-4D58-AF0B-F7A4EC967810}"/>
    <cellStyle name="Normal 9 2 3 3 6" xfId="2669" xr:uid="{00000000-0005-0000-0000-0000461F0000}"/>
    <cellStyle name="Normal 9 2 3 3 6 2" xfId="6952" xr:uid="{00000000-0005-0000-0000-0000471F0000}"/>
    <cellStyle name="Normal 9 2 3 3 6 2 2" xfId="16278" xr:uid="{116B0E9B-A928-446F-B4BB-C3DDC7530568}"/>
    <cellStyle name="Normal 9 2 3 3 6 3" xfId="12061" xr:uid="{8815EDDF-1F85-4114-A8F7-2850D05A6EA7}"/>
    <cellStyle name="Normal 9 2 3 3 7" xfId="4887" xr:uid="{00000000-0005-0000-0000-0000481F0000}"/>
    <cellStyle name="Normal 9 2 3 3 7 2" xfId="14213" xr:uid="{5E0DD087-F1DC-43F5-BA15-45AAB225050E}"/>
    <cellStyle name="Normal 9 2 3 3 8" xfId="9045" xr:uid="{CD23D75F-FCE1-471A-A55A-DAC6FB15D069}"/>
    <cellStyle name="Normal 9 2 3 3 9" xfId="9996" xr:uid="{33483EE9-C9D4-4BC6-A3B9-B49DC09A13A7}"/>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B7A67A08-CFA6-4E8E-9D0F-BE217713B802}"/>
    <cellStyle name="Normal 9 2 3 4 2 3" xfId="12551" xr:uid="{F8208FBB-823B-4415-BFF2-F9F0EBF73E07}"/>
    <cellStyle name="Normal 9 2 3 4 3" xfId="5297" xr:uid="{00000000-0005-0000-0000-00004C1F0000}"/>
    <cellStyle name="Normal 9 2 3 4 3 2" xfId="14623" xr:uid="{DDCF28C5-E7E8-4D83-94A7-8EF1E241686C}"/>
    <cellStyle name="Normal 9 2 3 4 4" xfId="9263" xr:uid="{8E7B719A-F76B-4A2B-A5A7-1A883FD6976F}"/>
    <cellStyle name="Normal 9 2 3 4 5" xfId="10406" xr:uid="{4449D5A4-D4B6-43BC-AAEB-429FC0AA22F1}"/>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3D28D52D-B0A8-4028-91B7-C6E3FFB995A1}"/>
    <cellStyle name="Normal 9 2 3 5 2 3" xfId="12964" xr:uid="{ACFA5BF2-92CF-4027-9BFE-B9F9DADCD7D3}"/>
    <cellStyle name="Normal 9 2 3 5 3" xfId="5710" xr:uid="{00000000-0005-0000-0000-0000501F0000}"/>
    <cellStyle name="Normal 9 2 3 5 3 2" xfId="15036" xr:uid="{50279BA8-FF6E-4956-AD87-DCD3C7F882C9}"/>
    <cellStyle name="Normal 9 2 3 5 4" xfId="10819" xr:uid="{9E6FB22E-3FCB-4294-8B36-2E2F299887BC}"/>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D39504B2-49AB-4A50-B731-EB049351A757}"/>
    <cellStyle name="Normal 9 2 3 6 2 3" xfId="13377" xr:uid="{438192AF-49CF-471C-82C4-30D28E5A91EC}"/>
    <cellStyle name="Normal 9 2 3 6 3" xfId="6123" xr:uid="{00000000-0005-0000-0000-0000541F0000}"/>
    <cellStyle name="Normal 9 2 3 6 3 2" xfId="15449" xr:uid="{32FB32DA-5B74-453B-A6C4-F5B1F2C72C21}"/>
    <cellStyle name="Normal 9 2 3 6 4" xfId="11232" xr:uid="{C537CF61-C6D8-4A88-B644-5C90C3CD2834}"/>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06321192-A6BE-48FA-A946-4D33870C7E04}"/>
    <cellStyle name="Normal 9 2 3 7 2 3" xfId="13790" xr:uid="{897BC1E1-408E-4D2C-92E4-B9687B08C975}"/>
    <cellStyle name="Normal 9 2 3 7 3" xfId="6536" xr:uid="{00000000-0005-0000-0000-0000581F0000}"/>
    <cellStyle name="Normal 9 2 3 7 3 2" xfId="15862" xr:uid="{7CE68B47-8421-42EC-AA19-DE171C1BA556}"/>
    <cellStyle name="Normal 9 2 3 7 4" xfId="11645" xr:uid="{D326261C-32E2-4D78-8077-441078940C26}"/>
    <cellStyle name="Normal 9 2 3 8" xfId="2666" xr:uid="{00000000-0005-0000-0000-0000591F0000}"/>
    <cellStyle name="Normal 9 2 3 8 2" xfId="6949" xr:uid="{00000000-0005-0000-0000-00005A1F0000}"/>
    <cellStyle name="Normal 9 2 3 8 2 2" xfId="16275" xr:uid="{BE2BEC26-B674-46C0-99CB-342F17286661}"/>
    <cellStyle name="Normal 9 2 3 8 3" xfId="12058" xr:uid="{43AC416C-7D7B-4D4C-A9E6-41134CADE5D8}"/>
    <cellStyle name="Normal 9 2 3 9" xfId="4884" xr:uid="{00000000-0005-0000-0000-00005B1F0000}"/>
    <cellStyle name="Normal 9 2 3 9 2" xfId="14210" xr:uid="{6E7278CE-43A5-4C53-811C-49AC95B7AFE7}"/>
    <cellStyle name="Normal 9 2 4" xfId="524" xr:uid="{00000000-0005-0000-0000-00005C1F0000}"/>
    <cellStyle name="Normal 9 2 4 10" xfId="9997" xr:uid="{3A3CCBD1-E461-477C-8EC0-033BF9489728}"/>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F9589EA5-E754-4C58-B21F-9AEE93393C24}"/>
    <cellStyle name="Normal 9 2 4 2 2 2 3" xfId="12556" xr:uid="{CB8D678A-B13E-4ACF-8CF3-4B3880116B31}"/>
    <cellStyle name="Normal 9 2 4 2 2 3" xfId="5302" xr:uid="{00000000-0005-0000-0000-0000611F0000}"/>
    <cellStyle name="Normal 9 2 4 2 2 3 2" xfId="14628" xr:uid="{040CB586-2D19-42D2-A4DF-B946142629FF}"/>
    <cellStyle name="Normal 9 2 4 2 2 4" xfId="9489" xr:uid="{4BA9DC16-58A7-4D6B-90A6-6BB0C51A0279}"/>
    <cellStyle name="Normal 9 2 4 2 2 5" xfId="10411" xr:uid="{07F1E5E0-7F80-4BCA-9BD2-EFAC6768B2E5}"/>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0CA88778-ACF8-486B-80C2-CEADBA3BECF8}"/>
    <cellStyle name="Normal 9 2 4 2 3 2 3" xfId="12969" xr:uid="{42C3343E-7FF5-4C12-8810-B1F7138555F4}"/>
    <cellStyle name="Normal 9 2 4 2 3 3" xfId="5715" xr:uid="{00000000-0005-0000-0000-0000651F0000}"/>
    <cellStyle name="Normal 9 2 4 2 3 3 2" xfId="15041" xr:uid="{9506CE55-BA79-4341-8581-34DC14CDACB9}"/>
    <cellStyle name="Normal 9 2 4 2 3 4" xfId="10824" xr:uid="{95D98808-1764-4CAA-BDCD-B7B4EC20A5E2}"/>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35A8AEFE-FFB1-41B2-8308-744899D60659}"/>
    <cellStyle name="Normal 9 2 4 2 4 2 3" xfId="13382" xr:uid="{65F60F5D-CDF8-40EF-85AB-C00A9749FD03}"/>
    <cellStyle name="Normal 9 2 4 2 4 3" xfId="6128" xr:uid="{00000000-0005-0000-0000-0000691F0000}"/>
    <cellStyle name="Normal 9 2 4 2 4 3 2" xfId="15454" xr:uid="{11B51110-F59F-45CA-B986-1FAEF940F24A}"/>
    <cellStyle name="Normal 9 2 4 2 4 4" xfId="11237" xr:uid="{792BDC71-0BD0-41C7-BA52-B218D3F51125}"/>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9680D0F3-52BB-4C7C-A8CF-702CA8A7DE75}"/>
    <cellStyle name="Normal 9 2 4 2 5 2 3" xfId="13795" xr:uid="{1ED1AFA7-C8F0-4ECE-8711-6E00CE6056BA}"/>
    <cellStyle name="Normal 9 2 4 2 5 3" xfId="6541" xr:uid="{00000000-0005-0000-0000-00006D1F0000}"/>
    <cellStyle name="Normal 9 2 4 2 5 3 2" xfId="15867" xr:uid="{79706AAE-8394-4F4D-978D-F88F645B3038}"/>
    <cellStyle name="Normal 9 2 4 2 5 4" xfId="11650" xr:uid="{BD8F4DF6-6F49-4CAF-B588-E2270B5E82C1}"/>
    <cellStyle name="Normal 9 2 4 2 6" xfId="2671" xr:uid="{00000000-0005-0000-0000-00006E1F0000}"/>
    <cellStyle name="Normal 9 2 4 2 6 2" xfId="6954" xr:uid="{00000000-0005-0000-0000-00006F1F0000}"/>
    <cellStyle name="Normal 9 2 4 2 6 2 2" xfId="16280" xr:uid="{7CCAF349-C6BF-4BFF-ACD4-A23442DE2D6F}"/>
    <cellStyle name="Normal 9 2 4 2 6 3" xfId="12063" xr:uid="{7A6E5FE8-5219-42AF-94C0-83F703F10383}"/>
    <cellStyle name="Normal 9 2 4 2 7" xfId="4889" xr:uid="{00000000-0005-0000-0000-0000701F0000}"/>
    <cellStyle name="Normal 9 2 4 2 7 2" xfId="14215" xr:uid="{E78F5CC4-C771-4BFC-A580-89C868696E5D}"/>
    <cellStyle name="Normal 9 2 4 2 8" xfId="9064" xr:uid="{7D4090C3-C767-4FFF-8A1F-282B2C8BAE68}"/>
    <cellStyle name="Normal 9 2 4 2 9" xfId="9998" xr:uid="{B60B657E-1C56-496E-96CF-E16C672A0FDF}"/>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66320D3C-B56B-43D8-85C8-33E941400461}"/>
    <cellStyle name="Normal 9 2 4 3 2 3" xfId="12555" xr:uid="{58AE422D-46F1-42AE-A417-11A50248CE0F}"/>
    <cellStyle name="Normal 9 2 4 3 3" xfId="5301" xr:uid="{00000000-0005-0000-0000-0000741F0000}"/>
    <cellStyle name="Normal 9 2 4 3 3 2" xfId="14627" xr:uid="{AC84AB63-D8B3-4232-A88B-2B326D57407D}"/>
    <cellStyle name="Normal 9 2 4 3 4" xfId="9282" xr:uid="{2471E5AC-3D06-4E90-9462-C54FACA9B22B}"/>
    <cellStyle name="Normal 9 2 4 3 5" xfId="10410" xr:uid="{3AB43BE2-EA1D-43E6-828F-FB838B38197B}"/>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E2E15565-7980-483D-86E3-48608028CB21}"/>
    <cellStyle name="Normal 9 2 4 4 2 3" xfId="12968" xr:uid="{4F39B0DE-43AB-4350-A1B1-5CEBBA31065B}"/>
    <cellStyle name="Normal 9 2 4 4 3" xfId="5714" xr:uid="{00000000-0005-0000-0000-0000781F0000}"/>
    <cellStyle name="Normal 9 2 4 4 3 2" xfId="15040" xr:uid="{9672FB91-B41D-433F-A9D1-9A56F1F7A288}"/>
    <cellStyle name="Normal 9 2 4 4 4" xfId="10823" xr:uid="{DD263F3C-CDB2-4913-AE47-BBF872CABCFE}"/>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1A0EA128-4363-4261-A870-C79236EB78F0}"/>
    <cellStyle name="Normal 9 2 4 5 2 3" xfId="13381" xr:uid="{52F7A9CD-9372-4977-A2EE-B760AD42914E}"/>
    <cellStyle name="Normal 9 2 4 5 3" xfId="6127" xr:uid="{00000000-0005-0000-0000-00007C1F0000}"/>
    <cellStyle name="Normal 9 2 4 5 3 2" xfId="15453" xr:uid="{CD7B0E3D-7ED0-4D1E-A4CE-B9E282417732}"/>
    <cellStyle name="Normal 9 2 4 5 4" xfId="11236" xr:uid="{060E72B8-A7BD-4BCD-B526-E57C044635AC}"/>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B14443CE-7C1E-40B6-B6B8-44DDF088D82F}"/>
    <cellStyle name="Normal 9 2 4 6 2 3" xfId="13794" xr:uid="{759B0804-B424-430F-A4C0-A55772366176}"/>
    <cellStyle name="Normal 9 2 4 6 3" xfId="6540" xr:uid="{00000000-0005-0000-0000-0000801F0000}"/>
    <cellStyle name="Normal 9 2 4 6 3 2" xfId="15866" xr:uid="{EF65B333-F859-4DCB-9BF8-618E9B0430E5}"/>
    <cellStyle name="Normal 9 2 4 6 4" xfId="11649" xr:uid="{92B44F80-103B-4FA7-BE95-7591584E1CE4}"/>
    <cellStyle name="Normal 9 2 4 7" xfId="2670" xr:uid="{00000000-0005-0000-0000-0000811F0000}"/>
    <cellStyle name="Normal 9 2 4 7 2" xfId="6953" xr:uid="{00000000-0005-0000-0000-0000821F0000}"/>
    <cellStyle name="Normal 9 2 4 7 2 2" xfId="16279" xr:uid="{1C317364-CA69-4A29-824F-18D217CFDDCD}"/>
    <cellStyle name="Normal 9 2 4 7 3" xfId="12062" xr:uid="{2DA3BB82-5A98-4F24-95FC-FEE6C469C8D7}"/>
    <cellStyle name="Normal 9 2 4 8" xfId="4888" xr:uid="{00000000-0005-0000-0000-0000831F0000}"/>
    <cellStyle name="Normal 9 2 4 8 2" xfId="14214" xr:uid="{9CFF6AF4-A20B-4416-B3CC-CE65D19A7B64}"/>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CB4A0AEB-600D-46D6-8E4C-65C369434BCE}"/>
    <cellStyle name="Normal 9 2 5 2 2 3" xfId="12557" xr:uid="{703C2ED3-37D5-41A2-923C-7DF41FD88A1B}"/>
    <cellStyle name="Normal 9 2 5 2 3" xfId="5303" xr:uid="{00000000-0005-0000-0000-0000881F0000}"/>
    <cellStyle name="Normal 9 2 5 2 3 2" xfId="14629" xr:uid="{1D356BBB-0E47-48EC-9A3A-7CEDAFB3F16A}"/>
    <cellStyle name="Normal 9 2 5 2 4" xfId="9398" xr:uid="{5B2A416E-986C-4898-8893-9EAFDDDBCDD4}"/>
    <cellStyle name="Normal 9 2 5 2 5" xfId="10412" xr:uid="{3D9F37F4-EADF-46C3-9178-B37ED8A49BC4}"/>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07F17355-F5E0-46FE-9F11-283F95540802}"/>
    <cellStyle name="Normal 9 2 5 3 2 3" xfId="12970" xr:uid="{FDC635D3-E425-4608-B916-C3032D859274}"/>
    <cellStyle name="Normal 9 2 5 3 3" xfId="5716" xr:uid="{00000000-0005-0000-0000-00008C1F0000}"/>
    <cellStyle name="Normal 9 2 5 3 3 2" xfId="15042" xr:uid="{7D1593AE-9AFA-43F7-A566-335F0F0F436F}"/>
    <cellStyle name="Normal 9 2 5 3 4" xfId="10825" xr:uid="{488A39CB-FF99-4E91-B873-B94DFD63FAAF}"/>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D0C6E252-D72D-41B8-B7CE-CB65AA7050C1}"/>
    <cellStyle name="Normal 9 2 5 4 2 3" xfId="13383" xr:uid="{0B78E472-C140-4207-926B-BB835BC08BF5}"/>
    <cellStyle name="Normal 9 2 5 4 3" xfId="6129" xr:uid="{00000000-0005-0000-0000-0000901F0000}"/>
    <cellStyle name="Normal 9 2 5 4 3 2" xfId="15455" xr:uid="{E1A56EF5-3D4B-46DF-8911-ADD8D9FC414A}"/>
    <cellStyle name="Normal 9 2 5 4 4" xfId="11238" xr:uid="{896BE99F-36A0-4BC5-9A36-C90987C8163E}"/>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3C185260-AA19-4BE2-A509-3D915FF80A14}"/>
    <cellStyle name="Normal 9 2 5 5 2 3" xfId="13796" xr:uid="{46FEE243-F7FD-4760-AF1F-F032053AED5C}"/>
    <cellStyle name="Normal 9 2 5 5 3" xfId="6542" xr:uid="{00000000-0005-0000-0000-0000941F0000}"/>
    <cellStyle name="Normal 9 2 5 5 3 2" xfId="15868" xr:uid="{DFB37F24-213A-4683-91E4-28A311B94E0A}"/>
    <cellStyle name="Normal 9 2 5 5 4" xfId="11651" xr:uid="{99B13757-DE80-4401-B387-AF28E3837C49}"/>
    <cellStyle name="Normal 9 2 5 6" xfId="2672" xr:uid="{00000000-0005-0000-0000-0000951F0000}"/>
    <cellStyle name="Normal 9 2 5 6 2" xfId="6955" xr:uid="{00000000-0005-0000-0000-0000961F0000}"/>
    <cellStyle name="Normal 9 2 5 6 2 2" xfId="16281" xr:uid="{333C62C2-7D2F-44C9-A23A-2A4822217643}"/>
    <cellStyle name="Normal 9 2 5 6 3" xfId="12064" xr:uid="{EEB90D4C-2D79-4F68-8B32-9165A7997645}"/>
    <cellStyle name="Normal 9 2 5 7" xfId="4890" xr:uid="{00000000-0005-0000-0000-0000971F0000}"/>
    <cellStyle name="Normal 9 2 5 7 2" xfId="14216" xr:uid="{8BF78567-0EF3-426B-A50F-C771B2855D99}"/>
    <cellStyle name="Normal 9 2 5 8" xfId="8973" xr:uid="{BA9464C2-72F7-4B38-B1BD-6986FFA433D9}"/>
    <cellStyle name="Normal 9 2 5 9" xfId="9999" xr:uid="{02C97112-2AC4-4954-8F20-746383A611AE}"/>
    <cellStyle name="Normal 9 2 6" xfId="978" xr:uid="{00000000-0005-0000-0000-0000981F0000}"/>
    <cellStyle name="Normal 9 2 6 2" xfId="3211" xr:uid="{00000000-0005-0000-0000-0000991F0000}"/>
    <cellStyle name="Normal 9 2 6 2 2" xfId="7433" xr:uid="{00000000-0005-0000-0000-00009A1F0000}"/>
    <cellStyle name="Normal 9 2 6 2 2 2" xfId="16759" xr:uid="{2E8F07FA-3C67-4A3B-8C7E-92C7913659B2}"/>
    <cellStyle name="Normal 9 2 6 2 3" xfId="12542" xr:uid="{BBDEA747-D417-4B73-82CA-209FF593D8E7}"/>
    <cellStyle name="Normal 9 2 6 3" xfId="5288" xr:uid="{00000000-0005-0000-0000-00009B1F0000}"/>
    <cellStyle name="Normal 9 2 6 3 2" xfId="14614" xr:uid="{946C5CC9-0405-4E71-BCB5-14CA8859287B}"/>
    <cellStyle name="Normal 9 2 6 4" xfId="9176" xr:uid="{F3933A08-5B20-47C9-B0FC-7B73F4B0BA7D}"/>
    <cellStyle name="Normal 9 2 6 5" xfId="10397" xr:uid="{79352593-5916-4940-BCDA-2010CB9D452E}"/>
    <cellStyle name="Normal 9 2 7" xfId="1394" xr:uid="{00000000-0005-0000-0000-00009C1F0000}"/>
    <cellStyle name="Normal 9 2 7 2" xfId="3624" xr:uid="{00000000-0005-0000-0000-00009D1F0000}"/>
    <cellStyle name="Normal 9 2 7 2 2" xfId="7846" xr:uid="{00000000-0005-0000-0000-00009E1F0000}"/>
    <cellStyle name="Normal 9 2 7 2 2 2" xfId="17172" xr:uid="{A0358F10-3ABC-4D19-A993-B4EF026E03B9}"/>
    <cellStyle name="Normal 9 2 7 2 3" xfId="12955" xr:uid="{D548EB0D-02E3-4CA7-9B55-42DAE2B4923E}"/>
    <cellStyle name="Normal 9 2 7 3" xfId="5701" xr:uid="{00000000-0005-0000-0000-00009F1F0000}"/>
    <cellStyle name="Normal 9 2 7 3 2" xfId="15027" xr:uid="{65275D19-81B5-426F-908B-7A3E2AD477F3}"/>
    <cellStyle name="Normal 9 2 7 4" xfId="10810" xr:uid="{89B49203-5F0F-43A7-B8B2-1DC30C916686}"/>
    <cellStyle name="Normal 9 2 8" xfId="1807" xr:uid="{00000000-0005-0000-0000-0000A01F0000}"/>
    <cellStyle name="Normal 9 2 8 2" xfId="4037" xr:uid="{00000000-0005-0000-0000-0000A11F0000}"/>
    <cellStyle name="Normal 9 2 8 2 2" xfId="8259" xr:uid="{00000000-0005-0000-0000-0000A21F0000}"/>
    <cellStyle name="Normal 9 2 8 2 2 2" xfId="17585" xr:uid="{C3056774-4E8F-476F-A5E3-70706848EB9D}"/>
    <cellStyle name="Normal 9 2 8 2 3" xfId="13368" xr:uid="{1F06E89C-8AF6-40F6-9646-B5E4C8D2A279}"/>
    <cellStyle name="Normal 9 2 8 3" xfId="6114" xr:uid="{00000000-0005-0000-0000-0000A31F0000}"/>
    <cellStyle name="Normal 9 2 8 3 2" xfId="15440" xr:uid="{AD376D9F-3DC6-4FCE-B6FB-6A2AD283520A}"/>
    <cellStyle name="Normal 9 2 8 4" xfId="11223" xr:uid="{DDB79FAF-019E-4015-A434-6D6C38D7A97F}"/>
    <cellStyle name="Normal 9 2 9" xfId="2221" xr:uid="{00000000-0005-0000-0000-0000A41F0000}"/>
    <cellStyle name="Normal 9 2 9 2" xfId="4450" xr:uid="{00000000-0005-0000-0000-0000A51F0000}"/>
    <cellStyle name="Normal 9 2 9 2 2" xfId="8672" xr:uid="{00000000-0005-0000-0000-0000A61F0000}"/>
    <cellStyle name="Normal 9 2 9 2 2 2" xfId="17998" xr:uid="{E2D2356C-FE7F-47DD-AFA2-FA78FB57EC46}"/>
    <cellStyle name="Normal 9 2 9 2 3" xfId="13781" xr:uid="{C47285E3-5182-4449-BB83-4FD40F0C6DB5}"/>
    <cellStyle name="Normal 9 2 9 3" xfId="6527" xr:uid="{00000000-0005-0000-0000-0000A71F0000}"/>
    <cellStyle name="Normal 9 2 9 3 2" xfId="15853" xr:uid="{B52E7F9D-D8D4-4A36-AE0B-75D69FEC6141}"/>
    <cellStyle name="Normal 9 2 9 4" xfId="11636" xr:uid="{802DCE42-4A2D-4476-90B9-0CD30A5EF1EA}"/>
    <cellStyle name="Normal 9 3" xfId="527" xr:uid="{00000000-0005-0000-0000-0000A81F0000}"/>
    <cellStyle name="Normal 9 3 10" xfId="4891" xr:uid="{00000000-0005-0000-0000-0000A91F0000}"/>
    <cellStyle name="Normal 9 3 10 2" xfId="14217" xr:uid="{6C30A942-5669-484A-951C-15BF21EC7DFB}"/>
    <cellStyle name="Normal 9 3 11" xfId="8777" xr:uid="{1F3D7E21-FC22-4F0C-9371-3D8250746BB7}"/>
    <cellStyle name="Normal 9 3 12" xfId="10000" xr:uid="{CCEF4849-6646-42FB-8150-3F9FE2DFD92A}"/>
    <cellStyle name="Normal 9 3 2" xfId="528" xr:uid="{00000000-0005-0000-0000-0000AA1F0000}"/>
    <cellStyle name="Normal 9 3 2 10" xfId="8840" xr:uid="{94797BE2-1721-4871-A768-79D4D45F48BB}"/>
    <cellStyle name="Normal 9 3 2 11" xfId="10001" xr:uid="{09A5CF00-C695-4B66-803E-26EEA79A829C}"/>
    <cellStyle name="Normal 9 3 2 2" xfId="529" xr:uid="{00000000-0005-0000-0000-0000AB1F0000}"/>
    <cellStyle name="Normal 9 3 2 2 10" xfId="10002" xr:uid="{76744BF1-D454-4FD1-9FD3-FAC2549CB4DA}"/>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32A9DD51-2FCD-4265-8381-4AEB1B356D81}"/>
    <cellStyle name="Normal 9 3 2 2 2 2 2 3" xfId="12561" xr:uid="{54394D16-8B6E-45AC-94A9-1CCEE590AA2E}"/>
    <cellStyle name="Normal 9 3 2 2 2 2 3" xfId="5307" xr:uid="{00000000-0005-0000-0000-0000B01F0000}"/>
    <cellStyle name="Normal 9 3 2 2 2 2 3 2" xfId="14633" xr:uid="{1CF9BDD5-5F46-44C7-AA0D-C19E7E985D2F}"/>
    <cellStyle name="Normal 9 3 2 2 2 2 4" xfId="9575" xr:uid="{DA05DE06-1987-4B8E-8439-C692853FF296}"/>
    <cellStyle name="Normal 9 3 2 2 2 2 5" xfId="10416" xr:uid="{060E2019-474B-4B1C-82E9-C123668B1C3B}"/>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A368A1EC-E805-4923-BEC7-3CD397844203}"/>
    <cellStyle name="Normal 9 3 2 2 2 3 2 3" xfId="12974" xr:uid="{C76F6DD2-C4FD-4BFD-ACA8-36C4028882A0}"/>
    <cellStyle name="Normal 9 3 2 2 2 3 3" xfId="5720" xr:uid="{00000000-0005-0000-0000-0000B41F0000}"/>
    <cellStyle name="Normal 9 3 2 2 2 3 3 2" xfId="15046" xr:uid="{7A740890-0C19-4A0F-830B-AE04EB6E6DF3}"/>
    <cellStyle name="Normal 9 3 2 2 2 3 4" xfId="10829" xr:uid="{4D3B4612-74C7-4C20-93A5-C1F7CF57E9A3}"/>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CDEBACE1-1636-4FFB-832F-3B18EC98836F}"/>
    <cellStyle name="Normal 9 3 2 2 2 4 2 3" xfId="13387" xr:uid="{93977205-D296-4BA3-BF91-20D34DD3B11E}"/>
    <cellStyle name="Normal 9 3 2 2 2 4 3" xfId="6133" xr:uid="{00000000-0005-0000-0000-0000B81F0000}"/>
    <cellStyle name="Normal 9 3 2 2 2 4 3 2" xfId="15459" xr:uid="{7A7EE580-CA3D-4DB2-AE1B-89EBE4C17775}"/>
    <cellStyle name="Normal 9 3 2 2 2 4 4" xfId="11242" xr:uid="{410B6CE5-DB01-46D3-8354-BB3EC888A59B}"/>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FA23EFAF-7A5E-46A4-BDEE-1BDC07056EDE}"/>
    <cellStyle name="Normal 9 3 2 2 2 5 2 3" xfId="13800" xr:uid="{30E6A83E-42AF-418E-A2B9-E32D38E228B6}"/>
    <cellStyle name="Normal 9 3 2 2 2 5 3" xfId="6546" xr:uid="{00000000-0005-0000-0000-0000BC1F0000}"/>
    <cellStyle name="Normal 9 3 2 2 2 5 3 2" xfId="15872" xr:uid="{C4CA54AD-BC0C-4291-918C-857798E3DF50}"/>
    <cellStyle name="Normal 9 3 2 2 2 5 4" xfId="11655" xr:uid="{297D2E49-B498-4FA5-A72B-627EF56CCC8A}"/>
    <cellStyle name="Normal 9 3 2 2 2 6" xfId="2676" xr:uid="{00000000-0005-0000-0000-0000BD1F0000}"/>
    <cellStyle name="Normal 9 3 2 2 2 6 2" xfId="6959" xr:uid="{00000000-0005-0000-0000-0000BE1F0000}"/>
    <cellStyle name="Normal 9 3 2 2 2 6 2 2" xfId="16285" xr:uid="{4FF5FF08-4B41-4AA2-9851-EFB518A658F5}"/>
    <cellStyle name="Normal 9 3 2 2 2 6 3" xfId="12068" xr:uid="{C73AE52D-70FF-4D7F-85CD-444D399A03B4}"/>
    <cellStyle name="Normal 9 3 2 2 2 7" xfId="4894" xr:uid="{00000000-0005-0000-0000-0000BF1F0000}"/>
    <cellStyle name="Normal 9 3 2 2 2 7 2" xfId="14220" xr:uid="{43368D63-11F0-4688-A400-75D514942E5D}"/>
    <cellStyle name="Normal 9 3 2 2 2 8" xfId="9150" xr:uid="{F54F74BE-A583-4C94-A198-8E0D27AD7F4F}"/>
    <cellStyle name="Normal 9 3 2 2 2 9" xfId="10003" xr:uid="{12A6EE89-6CEB-4D25-88E0-1F86F75CB671}"/>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39E0F544-EBF8-4278-9D80-B15FCDA280CD}"/>
    <cellStyle name="Normal 9 3 2 2 3 2 3" xfId="12560" xr:uid="{CA99624A-9252-4419-BD2F-8102F34B3783}"/>
    <cellStyle name="Normal 9 3 2 2 3 3" xfId="5306" xr:uid="{00000000-0005-0000-0000-0000C31F0000}"/>
    <cellStyle name="Normal 9 3 2 2 3 3 2" xfId="14632" xr:uid="{B19C448B-8148-4C67-BAE0-97409D063A92}"/>
    <cellStyle name="Normal 9 3 2 2 3 4" xfId="9368" xr:uid="{B3189122-1774-442D-BD5B-8DA329618536}"/>
    <cellStyle name="Normal 9 3 2 2 3 5" xfId="10415" xr:uid="{47D18349-3024-4A68-92E9-60CBF9DE84E3}"/>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876A0D07-EFB9-4ADF-9B81-C49C590A0108}"/>
    <cellStyle name="Normal 9 3 2 2 4 2 3" xfId="12973" xr:uid="{EF35336E-1040-46F1-B083-D563F3BAF39B}"/>
    <cellStyle name="Normal 9 3 2 2 4 3" xfId="5719" xr:uid="{00000000-0005-0000-0000-0000C71F0000}"/>
    <cellStyle name="Normal 9 3 2 2 4 3 2" xfId="15045" xr:uid="{40DDD04C-FD56-4286-811B-513E2759BE01}"/>
    <cellStyle name="Normal 9 3 2 2 4 4" xfId="10828" xr:uid="{49E202CD-8A94-4B6B-A137-76510D6DC7C8}"/>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8AD30DAA-FEDA-436E-90D1-8ED9B2D70B63}"/>
    <cellStyle name="Normal 9 3 2 2 5 2 3" xfId="13386" xr:uid="{24F395B4-D6FE-4B11-B8FA-B92564593B17}"/>
    <cellStyle name="Normal 9 3 2 2 5 3" xfId="6132" xr:uid="{00000000-0005-0000-0000-0000CB1F0000}"/>
    <cellStyle name="Normal 9 3 2 2 5 3 2" xfId="15458" xr:uid="{DF00DD16-B96A-432A-B6BD-C8F97134C1DC}"/>
    <cellStyle name="Normal 9 3 2 2 5 4" xfId="11241" xr:uid="{EB710415-562E-407F-B3B6-D28D71A48EE5}"/>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23900344-8048-4938-9D96-CADA482FE9C8}"/>
    <cellStyle name="Normal 9 3 2 2 6 2 3" xfId="13799" xr:uid="{68D11340-7494-4627-885E-B1C11238DBA2}"/>
    <cellStyle name="Normal 9 3 2 2 6 3" xfId="6545" xr:uid="{00000000-0005-0000-0000-0000CF1F0000}"/>
    <cellStyle name="Normal 9 3 2 2 6 3 2" xfId="15871" xr:uid="{AA9EF69F-BE1B-4C7F-982D-0ACBB964FFED}"/>
    <cellStyle name="Normal 9 3 2 2 6 4" xfId="11654" xr:uid="{D5F264FF-6E23-4FE2-B912-6A26D4CFA63F}"/>
    <cellStyle name="Normal 9 3 2 2 7" xfId="2675" xr:uid="{00000000-0005-0000-0000-0000D01F0000}"/>
    <cellStyle name="Normal 9 3 2 2 7 2" xfId="6958" xr:uid="{00000000-0005-0000-0000-0000D11F0000}"/>
    <cellStyle name="Normal 9 3 2 2 7 2 2" xfId="16284" xr:uid="{A63F343E-061A-4578-9C5F-A51CEE818F41}"/>
    <cellStyle name="Normal 9 3 2 2 7 3" xfId="12067" xr:uid="{7191C320-F04B-4B22-A665-AD68D814CD4F}"/>
    <cellStyle name="Normal 9 3 2 2 8" xfId="4893" xr:uid="{00000000-0005-0000-0000-0000D21F0000}"/>
    <cellStyle name="Normal 9 3 2 2 8 2" xfId="14219" xr:uid="{9A4380CF-0F86-4033-B985-1E087C4F5AD2}"/>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649D2A42-D28A-4C12-BA1C-4AE286B69C48}"/>
    <cellStyle name="Normal 9 3 2 3 2 2 3" xfId="12562" xr:uid="{821E3663-C69C-4A1B-AE1A-DB80747F95B3}"/>
    <cellStyle name="Normal 9 3 2 3 2 3" xfId="5308" xr:uid="{00000000-0005-0000-0000-0000D71F0000}"/>
    <cellStyle name="Normal 9 3 2 3 2 3 2" xfId="14634" xr:uid="{6547D884-DF6D-4D4B-88B1-725F86D3C393}"/>
    <cellStyle name="Normal 9 3 2 3 2 4" xfId="9472" xr:uid="{427A8E71-9BC4-47C0-A855-6886AF96C97E}"/>
    <cellStyle name="Normal 9 3 2 3 2 5" xfId="10417" xr:uid="{584BA4D6-ABB7-41B7-AFCD-853C909CC9E0}"/>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0E13257A-B6D0-47CA-BEF8-8D353F2B310B}"/>
    <cellStyle name="Normal 9 3 2 3 3 2 3" xfId="12975" xr:uid="{E49A97FF-7787-4516-9AFB-4CA2B9463361}"/>
    <cellStyle name="Normal 9 3 2 3 3 3" xfId="5721" xr:uid="{00000000-0005-0000-0000-0000DB1F0000}"/>
    <cellStyle name="Normal 9 3 2 3 3 3 2" xfId="15047" xr:uid="{989954C5-9422-4491-8FF5-63F71694817D}"/>
    <cellStyle name="Normal 9 3 2 3 3 4" xfId="10830" xr:uid="{94DED7BF-147A-4724-8174-A2BB60E13447}"/>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07807F6E-53E5-40CF-9EF4-162BD206B89D}"/>
    <cellStyle name="Normal 9 3 2 3 4 2 3" xfId="13388" xr:uid="{9257F090-01BF-49C4-AB96-42CBA9316B21}"/>
    <cellStyle name="Normal 9 3 2 3 4 3" xfId="6134" xr:uid="{00000000-0005-0000-0000-0000DF1F0000}"/>
    <cellStyle name="Normal 9 3 2 3 4 3 2" xfId="15460" xr:uid="{C7F8EF77-0848-4719-9026-0E7D2BA162AD}"/>
    <cellStyle name="Normal 9 3 2 3 4 4" xfId="11243" xr:uid="{A8A68681-C3C1-4C59-AA20-B499B69CEF2E}"/>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4EFF7B78-1D92-46E4-AEC9-A0FF9AE7E169}"/>
    <cellStyle name="Normal 9 3 2 3 5 2 3" xfId="13801" xr:uid="{22298256-1D2B-4193-927D-432BD3DA2101}"/>
    <cellStyle name="Normal 9 3 2 3 5 3" xfId="6547" xr:uid="{00000000-0005-0000-0000-0000E31F0000}"/>
    <cellStyle name="Normal 9 3 2 3 5 3 2" xfId="15873" xr:uid="{3AF262F6-9C6B-4C24-B752-F53C8640737E}"/>
    <cellStyle name="Normal 9 3 2 3 5 4" xfId="11656" xr:uid="{49BC079C-48B5-4334-A2D8-4E6C6F6B340C}"/>
    <cellStyle name="Normal 9 3 2 3 6" xfId="2677" xr:uid="{00000000-0005-0000-0000-0000E41F0000}"/>
    <cellStyle name="Normal 9 3 2 3 6 2" xfId="6960" xr:uid="{00000000-0005-0000-0000-0000E51F0000}"/>
    <cellStyle name="Normal 9 3 2 3 6 2 2" xfId="16286" xr:uid="{5216DC0D-4B8B-4454-820C-8DF0906D8FD2}"/>
    <cellStyle name="Normal 9 3 2 3 6 3" xfId="12069" xr:uid="{0E19FC83-F46F-41DE-9899-0434D5409071}"/>
    <cellStyle name="Normal 9 3 2 3 7" xfId="4895" xr:uid="{00000000-0005-0000-0000-0000E61F0000}"/>
    <cellStyle name="Normal 9 3 2 3 7 2" xfId="14221" xr:uid="{82F9AD19-2EFA-428D-B044-2BC0E67B12B8}"/>
    <cellStyle name="Normal 9 3 2 3 8" xfId="9047" xr:uid="{4CBBBE80-D24B-484D-910E-0072EA0E95DD}"/>
    <cellStyle name="Normal 9 3 2 3 9" xfId="10004" xr:uid="{21B1D200-A5A1-4877-8A1B-0BD036FA5594}"/>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14E5F0A4-6933-4E55-98A8-8E80A5B0DBB0}"/>
    <cellStyle name="Normal 9 3 2 4 2 3" xfId="12559" xr:uid="{63DE79E5-ACC6-41DA-A3C1-3668711F0B24}"/>
    <cellStyle name="Normal 9 3 2 4 3" xfId="5305" xr:uid="{00000000-0005-0000-0000-0000EA1F0000}"/>
    <cellStyle name="Normal 9 3 2 4 3 2" xfId="14631" xr:uid="{D9BEABC2-EEA8-4D2F-A161-E93AB6E07F25}"/>
    <cellStyle name="Normal 9 3 2 4 4" xfId="9265" xr:uid="{BF00A9B8-67BA-48F6-8D48-0E4380D60577}"/>
    <cellStyle name="Normal 9 3 2 4 5" xfId="10414" xr:uid="{09FCAB8A-E7AF-4DC1-B5E0-AE6B47029F04}"/>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44137A5E-35C6-4836-8C3B-8EBB0F7467BA}"/>
    <cellStyle name="Normal 9 3 2 5 2 3" xfId="12972" xr:uid="{98FDEFCC-C69B-47DA-B330-722F43F8F48C}"/>
    <cellStyle name="Normal 9 3 2 5 3" xfId="5718" xr:uid="{00000000-0005-0000-0000-0000EE1F0000}"/>
    <cellStyle name="Normal 9 3 2 5 3 2" xfId="15044" xr:uid="{B53F51F6-7046-44F6-B864-D9246B982C6C}"/>
    <cellStyle name="Normal 9 3 2 5 4" xfId="10827" xr:uid="{CE8E6512-CEE9-4F00-842D-C3125B897328}"/>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F3C74A16-4481-4D6E-B804-195FEC5F5A88}"/>
    <cellStyle name="Normal 9 3 2 6 2 3" xfId="13385" xr:uid="{FC133A79-3980-4B1B-A17F-4377DDF3CAE3}"/>
    <cellStyle name="Normal 9 3 2 6 3" xfId="6131" xr:uid="{00000000-0005-0000-0000-0000F21F0000}"/>
    <cellStyle name="Normal 9 3 2 6 3 2" xfId="15457" xr:uid="{C19F00CF-57E6-42D5-88FA-B77B2CDCB19C}"/>
    <cellStyle name="Normal 9 3 2 6 4" xfId="11240" xr:uid="{815C73D4-2B87-4A15-8CE9-3C69E333DA25}"/>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F4F32541-61A6-497E-95DF-F0BE9C4756C8}"/>
    <cellStyle name="Normal 9 3 2 7 2 3" xfId="13798" xr:uid="{F4B02DFC-350D-4B1E-A8B8-D7B0463ED842}"/>
    <cellStyle name="Normal 9 3 2 7 3" xfId="6544" xr:uid="{00000000-0005-0000-0000-0000F61F0000}"/>
    <cellStyle name="Normal 9 3 2 7 3 2" xfId="15870" xr:uid="{E6540F02-DB76-4A27-9650-B3B376FD03A7}"/>
    <cellStyle name="Normal 9 3 2 7 4" xfId="11653" xr:uid="{EB9BBAE4-35A9-4C2C-BE6C-31A0426C2802}"/>
    <cellStyle name="Normal 9 3 2 8" xfId="2674" xr:uid="{00000000-0005-0000-0000-0000F71F0000}"/>
    <cellStyle name="Normal 9 3 2 8 2" xfId="6957" xr:uid="{00000000-0005-0000-0000-0000F81F0000}"/>
    <cellStyle name="Normal 9 3 2 8 2 2" xfId="16283" xr:uid="{8A5BC784-528D-4E9E-8B37-45D064BC4579}"/>
    <cellStyle name="Normal 9 3 2 8 3" xfId="12066" xr:uid="{F5DB73E9-112F-40B0-869D-3A19EDC2F13F}"/>
    <cellStyle name="Normal 9 3 2 9" xfId="4892" xr:uid="{00000000-0005-0000-0000-0000F91F0000}"/>
    <cellStyle name="Normal 9 3 2 9 2" xfId="14218" xr:uid="{91744BA5-BAE8-4B87-A387-99743744E480}"/>
    <cellStyle name="Normal 9 3 3" xfId="532" xr:uid="{00000000-0005-0000-0000-0000FA1F0000}"/>
    <cellStyle name="Normal 9 3 3 10" xfId="10005" xr:uid="{78275228-C1E7-45BA-9B3B-60A6568F595A}"/>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41ACBCCC-8621-4776-AA3D-221F718EC2C0}"/>
    <cellStyle name="Normal 9 3 3 2 2 2 3" xfId="12564" xr:uid="{D6BD7DF6-CBB9-404D-BB32-57E9873EAA25}"/>
    <cellStyle name="Normal 9 3 3 2 2 3" xfId="5310" xr:uid="{00000000-0005-0000-0000-0000FF1F0000}"/>
    <cellStyle name="Normal 9 3 3 2 2 3 2" xfId="14636" xr:uid="{2331C929-4521-4BAB-B1BE-C49C947361BE}"/>
    <cellStyle name="Normal 9 3 3 2 2 4" xfId="9512" xr:uid="{2D87B26D-94B2-43FF-B3AD-59DF0A117D21}"/>
    <cellStyle name="Normal 9 3 3 2 2 5" xfId="10419" xr:uid="{5E880FB9-5F13-4E2B-9732-37971070B9E1}"/>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83673329-8206-4B97-A4B1-66548EDA5437}"/>
    <cellStyle name="Normal 9 3 3 2 3 2 3" xfId="12977" xr:uid="{9431920F-B605-44F6-80B6-498B9E10438B}"/>
    <cellStyle name="Normal 9 3 3 2 3 3" xfId="5723" xr:uid="{00000000-0005-0000-0000-000003200000}"/>
    <cellStyle name="Normal 9 3 3 2 3 3 2" xfId="15049" xr:uid="{19949E03-AE18-43F9-B088-453BE07391E3}"/>
    <cellStyle name="Normal 9 3 3 2 3 4" xfId="10832" xr:uid="{94D3785C-9FDF-4EE4-93ED-9FE7795C2871}"/>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9E2398DC-BDF6-4549-9B54-B8BCB94A7B51}"/>
    <cellStyle name="Normal 9 3 3 2 4 2 3" xfId="13390" xr:uid="{6058F6D7-CC0A-4A93-ACE3-4E35A2072E00}"/>
    <cellStyle name="Normal 9 3 3 2 4 3" xfId="6136" xr:uid="{00000000-0005-0000-0000-000007200000}"/>
    <cellStyle name="Normal 9 3 3 2 4 3 2" xfId="15462" xr:uid="{5F469417-246B-441E-8278-7911ACF05E78}"/>
    <cellStyle name="Normal 9 3 3 2 4 4" xfId="11245" xr:uid="{97F37D70-74C8-479D-A485-73DB74943BF9}"/>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22BBC816-FA1D-4337-860B-FB56940F23A9}"/>
    <cellStyle name="Normal 9 3 3 2 5 2 3" xfId="13803" xr:uid="{65122AAC-A596-4A40-8B82-A2F474401562}"/>
    <cellStyle name="Normal 9 3 3 2 5 3" xfId="6549" xr:uid="{00000000-0005-0000-0000-00000B200000}"/>
    <cellStyle name="Normal 9 3 3 2 5 3 2" xfId="15875" xr:uid="{8E4B2D26-515A-44BD-BAB6-0C4863472A47}"/>
    <cellStyle name="Normal 9 3 3 2 5 4" xfId="11658" xr:uid="{405A299B-D715-4CCC-818F-70F45C953C34}"/>
    <cellStyle name="Normal 9 3 3 2 6" xfId="2679" xr:uid="{00000000-0005-0000-0000-00000C200000}"/>
    <cellStyle name="Normal 9 3 3 2 6 2" xfId="6962" xr:uid="{00000000-0005-0000-0000-00000D200000}"/>
    <cellStyle name="Normal 9 3 3 2 6 2 2" xfId="16288" xr:uid="{3BD09E93-F380-4BCC-8169-B8D43C856545}"/>
    <cellStyle name="Normal 9 3 3 2 6 3" xfId="12071" xr:uid="{D8B326A2-6207-4F8F-944E-0243234F2DBF}"/>
    <cellStyle name="Normal 9 3 3 2 7" xfId="4897" xr:uid="{00000000-0005-0000-0000-00000E200000}"/>
    <cellStyle name="Normal 9 3 3 2 7 2" xfId="14223" xr:uid="{1FDE721D-6256-4A15-90E0-B569D7E7BC90}"/>
    <cellStyle name="Normal 9 3 3 2 8" xfId="9087" xr:uid="{B1C8DB1F-59B6-4D6A-B3E7-0CFC4D29D9A9}"/>
    <cellStyle name="Normal 9 3 3 2 9" xfId="10006" xr:uid="{C1A5DB35-DB52-41FD-B8D2-B1614D62B211}"/>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ADB34555-4A96-4D3A-A992-CB8020CA94DD}"/>
    <cellStyle name="Normal 9 3 3 3 2 3" xfId="12563" xr:uid="{78DB7769-23D6-49D4-8071-816D3DD06026}"/>
    <cellStyle name="Normal 9 3 3 3 3" xfId="5309" xr:uid="{00000000-0005-0000-0000-000012200000}"/>
    <cellStyle name="Normal 9 3 3 3 3 2" xfId="14635" xr:uid="{D9C2BB52-6B21-4514-9662-EC84032333F6}"/>
    <cellStyle name="Normal 9 3 3 3 4" xfId="9305" xr:uid="{F54F3A88-B268-4905-B4D1-34B996B920C6}"/>
    <cellStyle name="Normal 9 3 3 3 5" xfId="10418" xr:uid="{88D3520A-80F2-4A6D-86BD-ECEC551FB1C6}"/>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0EB8EA27-6285-437F-9BF9-650B8FA298DA}"/>
    <cellStyle name="Normal 9 3 3 4 2 3" xfId="12976" xr:uid="{7BD76C30-B337-41CC-AFBA-FB147C2EE8A4}"/>
    <cellStyle name="Normal 9 3 3 4 3" xfId="5722" xr:uid="{00000000-0005-0000-0000-000016200000}"/>
    <cellStyle name="Normal 9 3 3 4 3 2" xfId="15048" xr:uid="{46CA53EE-9928-468B-BDB1-D853AF49A746}"/>
    <cellStyle name="Normal 9 3 3 4 4" xfId="10831" xr:uid="{E0B15E08-C57D-4DD0-B068-05A1E5CBBE08}"/>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B7A5772B-2965-46CB-984A-2A2C34712392}"/>
    <cellStyle name="Normal 9 3 3 5 2 3" xfId="13389" xr:uid="{244E7F16-BB13-4D3E-A63E-369C846D220A}"/>
    <cellStyle name="Normal 9 3 3 5 3" xfId="6135" xr:uid="{00000000-0005-0000-0000-00001A200000}"/>
    <cellStyle name="Normal 9 3 3 5 3 2" xfId="15461" xr:uid="{BCF52BAC-0A89-4B0A-A690-32A5B43D5346}"/>
    <cellStyle name="Normal 9 3 3 5 4" xfId="11244" xr:uid="{133CDF96-A881-4FCB-B033-592DE4FFDB71}"/>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9A4BF97C-D314-4354-A8D7-7903C403B8BF}"/>
    <cellStyle name="Normal 9 3 3 6 2 3" xfId="13802" xr:uid="{2421DB85-3F10-44F7-9EB2-0314539198F9}"/>
    <cellStyle name="Normal 9 3 3 6 3" xfId="6548" xr:uid="{00000000-0005-0000-0000-00001E200000}"/>
    <cellStyle name="Normal 9 3 3 6 3 2" xfId="15874" xr:uid="{2AFED5D0-94E7-4863-ACB8-4EF8272A50FA}"/>
    <cellStyle name="Normal 9 3 3 6 4" xfId="11657" xr:uid="{C02AB849-2919-4FC3-856C-49846536A776}"/>
    <cellStyle name="Normal 9 3 3 7" xfId="2678" xr:uid="{00000000-0005-0000-0000-00001F200000}"/>
    <cellStyle name="Normal 9 3 3 7 2" xfId="6961" xr:uid="{00000000-0005-0000-0000-000020200000}"/>
    <cellStyle name="Normal 9 3 3 7 2 2" xfId="16287" xr:uid="{9283B529-44AE-431B-943E-9F8CBD5329C6}"/>
    <cellStyle name="Normal 9 3 3 7 3" xfId="12070" xr:uid="{94DFE92C-B40E-4384-A195-E0F9BFCB43B7}"/>
    <cellStyle name="Normal 9 3 3 8" xfId="4896" xr:uid="{00000000-0005-0000-0000-000021200000}"/>
    <cellStyle name="Normal 9 3 3 8 2" xfId="14222" xr:uid="{A8234D5B-BD33-43D0-A430-21E3D613139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631DAAA7-098D-4A27-8A9D-C1DA8704CEB2}"/>
    <cellStyle name="Normal 9 3 4 2 2 3" xfId="12565" xr:uid="{7D9B9A86-1F9B-4AD3-86C4-2E87ED1C317D}"/>
    <cellStyle name="Normal 9 3 4 2 3" xfId="5311" xr:uid="{00000000-0005-0000-0000-000026200000}"/>
    <cellStyle name="Normal 9 3 4 2 3 2" xfId="14637" xr:uid="{99FF35C1-4110-48D9-8F25-103EF77F77F3}"/>
    <cellStyle name="Normal 9 3 4 2 4" xfId="9409" xr:uid="{F8EFC02C-357C-44AD-9BF7-6459F3C595DA}"/>
    <cellStyle name="Normal 9 3 4 2 5" xfId="10420" xr:uid="{3CDD3B78-374E-424E-A0D2-2D74B0636C15}"/>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89751C66-53D1-4E4B-8202-A108ACA96678}"/>
    <cellStyle name="Normal 9 3 4 3 2 3" xfId="12978" xr:uid="{CF91B72B-DFBE-4F13-8328-A5FEE492C0D3}"/>
    <cellStyle name="Normal 9 3 4 3 3" xfId="5724" xr:uid="{00000000-0005-0000-0000-00002A200000}"/>
    <cellStyle name="Normal 9 3 4 3 3 2" xfId="15050" xr:uid="{8BB4B672-1297-4414-8174-8DD345EC7742}"/>
    <cellStyle name="Normal 9 3 4 3 4" xfId="10833" xr:uid="{1ABCC6C7-D279-4FF5-91CD-14D315986FD8}"/>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45E9C885-2CF9-43A3-A729-9CCA34E3510A}"/>
    <cellStyle name="Normal 9 3 4 4 2 3" xfId="13391" xr:uid="{1E9E284F-C057-48D8-926E-5031E05FB358}"/>
    <cellStyle name="Normal 9 3 4 4 3" xfId="6137" xr:uid="{00000000-0005-0000-0000-00002E200000}"/>
    <cellStyle name="Normal 9 3 4 4 3 2" xfId="15463" xr:uid="{9E286466-C3D0-423D-936B-30967F6EECEF}"/>
    <cellStyle name="Normal 9 3 4 4 4" xfId="11246" xr:uid="{B9DBCA23-3622-439F-AC18-6AE3EFB45C96}"/>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D328918D-3D4B-4BFC-A79D-C4659B40DE9D}"/>
    <cellStyle name="Normal 9 3 4 5 2 3" xfId="13804" xr:uid="{24A1A128-8826-460D-BF7F-12B3B73CD931}"/>
    <cellStyle name="Normal 9 3 4 5 3" xfId="6550" xr:uid="{00000000-0005-0000-0000-000032200000}"/>
    <cellStyle name="Normal 9 3 4 5 3 2" xfId="15876" xr:uid="{451ADC05-6961-444C-8D13-C9B60CAD526B}"/>
    <cellStyle name="Normal 9 3 4 5 4" xfId="11659" xr:uid="{266711E7-4FA6-4B94-86E5-C8328C628177}"/>
    <cellStyle name="Normal 9 3 4 6" xfId="2680" xr:uid="{00000000-0005-0000-0000-000033200000}"/>
    <cellStyle name="Normal 9 3 4 6 2" xfId="6963" xr:uid="{00000000-0005-0000-0000-000034200000}"/>
    <cellStyle name="Normal 9 3 4 6 2 2" xfId="16289" xr:uid="{E30FED77-CE6C-4E46-A7A7-362271C9D4D7}"/>
    <cellStyle name="Normal 9 3 4 6 3" xfId="12072" xr:uid="{208C01AD-EA0C-41FC-8583-EBE7695E6A8E}"/>
    <cellStyle name="Normal 9 3 4 7" xfId="4898" xr:uid="{00000000-0005-0000-0000-000035200000}"/>
    <cellStyle name="Normal 9 3 4 7 2" xfId="14224" xr:uid="{41D4E279-138C-4F32-8D8D-CEEAC9D46849}"/>
    <cellStyle name="Normal 9 3 4 8" xfId="8984" xr:uid="{A39B104A-EAEF-4D5B-B504-6104111E924B}"/>
    <cellStyle name="Normal 9 3 4 9" xfId="10007" xr:uid="{42E70FC6-4682-4F3E-9967-68A63DADC6D1}"/>
    <cellStyle name="Normal 9 3 5" xfId="994" xr:uid="{00000000-0005-0000-0000-000036200000}"/>
    <cellStyle name="Normal 9 3 5 2" xfId="3227" xr:uid="{00000000-0005-0000-0000-000037200000}"/>
    <cellStyle name="Normal 9 3 5 2 2" xfId="7449" xr:uid="{00000000-0005-0000-0000-000038200000}"/>
    <cellStyle name="Normal 9 3 5 2 2 2" xfId="16775" xr:uid="{FE18C368-3ADF-4247-8A18-7CFD0346B813}"/>
    <cellStyle name="Normal 9 3 5 2 3" xfId="12558" xr:uid="{FBE630E5-4DC0-4742-AAE3-EBDEBAC420CA}"/>
    <cellStyle name="Normal 9 3 5 3" xfId="5304" xr:uid="{00000000-0005-0000-0000-000039200000}"/>
    <cellStyle name="Normal 9 3 5 3 2" xfId="14630" xr:uid="{ABD8F117-E5AA-4EBB-8509-BB9EECC7C905}"/>
    <cellStyle name="Normal 9 3 5 4" xfId="9201" xr:uid="{46D523D7-8DEB-46FB-8F1C-8CE8C2FC3AD3}"/>
    <cellStyle name="Normal 9 3 5 5" xfId="10413" xr:uid="{C573C02E-BDD0-4AD0-8F14-D42E317172C1}"/>
    <cellStyle name="Normal 9 3 6" xfId="1410" xr:uid="{00000000-0005-0000-0000-00003A200000}"/>
    <cellStyle name="Normal 9 3 6 2" xfId="3640" xr:uid="{00000000-0005-0000-0000-00003B200000}"/>
    <cellStyle name="Normal 9 3 6 2 2" xfId="7862" xr:uid="{00000000-0005-0000-0000-00003C200000}"/>
    <cellStyle name="Normal 9 3 6 2 2 2" xfId="17188" xr:uid="{2421D058-EC1E-4423-A4DC-846AD737CA98}"/>
    <cellStyle name="Normal 9 3 6 2 3" xfId="12971" xr:uid="{494AA77F-B2C7-4447-802A-2A2FB25B2B49}"/>
    <cellStyle name="Normal 9 3 6 3" xfId="5717" xr:uid="{00000000-0005-0000-0000-00003D200000}"/>
    <cellStyle name="Normal 9 3 6 3 2" xfId="15043" xr:uid="{BA08C404-509A-4B50-AB0C-97BB75F516C0}"/>
    <cellStyle name="Normal 9 3 6 4" xfId="10826" xr:uid="{70581417-4E5D-448D-A29F-0EC8A0598D97}"/>
    <cellStyle name="Normal 9 3 7" xfId="1823" xr:uid="{00000000-0005-0000-0000-00003E200000}"/>
    <cellStyle name="Normal 9 3 7 2" xfId="4053" xr:uid="{00000000-0005-0000-0000-00003F200000}"/>
    <cellStyle name="Normal 9 3 7 2 2" xfId="8275" xr:uid="{00000000-0005-0000-0000-000040200000}"/>
    <cellStyle name="Normal 9 3 7 2 2 2" xfId="17601" xr:uid="{21928AD6-DBC2-4F4C-B56F-2A6C46D6B694}"/>
    <cellStyle name="Normal 9 3 7 2 3" xfId="13384" xr:uid="{C88AC3D7-2193-4292-9A8E-3C93355754A5}"/>
    <cellStyle name="Normal 9 3 7 3" xfId="6130" xr:uid="{00000000-0005-0000-0000-000041200000}"/>
    <cellStyle name="Normal 9 3 7 3 2" xfId="15456" xr:uid="{3416DDD5-DBBC-43EA-BE6B-469F0F3614D6}"/>
    <cellStyle name="Normal 9 3 7 4" xfId="11239" xr:uid="{197E09C7-40D7-4857-9647-0D9AF3B110AF}"/>
    <cellStyle name="Normal 9 3 8" xfId="2237" xr:uid="{00000000-0005-0000-0000-000042200000}"/>
    <cellStyle name="Normal 9 3 8 2" xfId="4466" xr:uid="{00000000-0005-0000-0000-000043200000}"/>
    <cellStyle name="Normal 9 3 8 2 2" xfId="8688" xr:uid="{00000000-0005-0000-0000-000044200000}"/>
    <cellStyle name="Normal 9 3 8 2 2 2" xfId="18014" xr:uid="{4F440BA5-7761-4FB7-AF09-AE3025CDE1F9}"/>
    <cellStyle name="Normal 9 3 8 2 3" xfId="13797" xr:uid="{2C7A0140-62EA-47A2-AF0E-41E294229D4F}"/>
    <cellStyle name="Normal 9 3 8 3" xfId="6543" xr:uid="{00000000-0005-0000-0000-000045200000}"/>
    <cellStyle name="Normal 9 3 8 3 2" xfId="15869" xr:uid="{AFA20DC1-1375-4F1A-9821-F095A1F3EA23}"/>
    <cellStyle name="Normal 9 3 8 4" xfId="11652" xr:uid="{7660530F-73A5-480B-8CA8-E2916F97DF78}"/>
    <cellStyle name="Normal 9 3 9" xfId="2673" xr:uid="{00000000-0005-0000-0000-000046200000}"/>
    <cellStyle name="Normal 9 3 9 2" xfId="6956" xr:uid="{00000000-0005-0000-0000-000047200000}"/>
    <cellStyle name="Normal 9 3 9 2 2" xfId="16282" xr:uid="{C27EE884-59DF-4426-BC51-3D5B3DDF9204}"/>
    <cellStyle name="Normal 9 3 9 3" xfId="12065" xr:uid="{B6F68225-B88F-4072-A3B1-251002A17C46}"/>
    <cellStyle name="Normal 9 4" xfId="535" xr:uid="{00000000-0005-0000-0000-000048200000}"/>
    <cellStyle name="Normal 9 4 2" xfId="1002" xr:uid="{00000000-0005-0000-0000-000049200000}"/>
    <cellStyle name="Normal 9 5" xfId="536" xr:uid="{00000000-0005-0000-0000-00004A200000}"/>
    <cellStyle name="Normal 9 5 10" xfId="10008" xr:uid="{B204ABE3-4AEB-45AA-9FFF-8B6F9129A973}"/>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F6755B59-7C2E-4178-852E-1DE67ABE7349}"/>
    <cellStyle name="Normal 9 5 2 2 2 3" xfId="12567" xr:uid="{83EF44BF-05FE-4CA2-83E5-E4459236BB17}"/>
    <cellStyle name="Normal 9 5 2 2 3" xfId="5313" xr:uid="{00000000-0005-0000-0000-00004F200000}"/>
    <cellStyle name="Normal 9 5 2 2 3 2" xfId="14639" xr:uid="{08DAD7C1-B8B3-4C49-8488-42E174D51A7A}"/>
    <cellStyle name="Normal 9 5 2 2 4" xfId="9480" xr:uid="{BC9702BE-C2B3-450A-99DF-6FFE7C7A82FD}"/>
    <cellStyle name="Normal 9 5 2 2 5" xfId="10422" xr:uid="{4F7AC8B6-A51E-4288-8D95-F6160A203F2B}"/>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0144DA8E-70F3-462A-BA93-D379A49A3BF1}"/>
    <cellStyle name="Normal 9 5 2 3 2 3" xfId="12980" xr:uid="{CF06E886-FE53-4958-8877-63D3E096B4EB}"/>
    <cellStyle name="Normal 9 5 2 3 3" xfId="5726" xr:uid="{00000000-0005-0000-0000-000053200000}"/>
    <cellStyle name="Normal 9 5 2 3 3 2" xfId="15052" xr:uid="{D3C7668E-1DA0-4A6C-96D3-CC9D18E673FF}"/>
    <cellStyle name="Normal 9 5 2 3 4" xfId="10835" xr:uid="{25C7C232-7EF5-431C-A083-C8B3086943F2}"/>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E7492114-44FB-4626-B0AC-C1A35C0D7DC2}"/>
    <cellStyle name="Normal 9 5 2 4 2 3" xfId="13393" xr:uid="{C7BE26DA-6D31-4453-B818-6A3B3527D663}"/>
    <cellStyle name="Normal 9 5 2 4 3" xfId="6139" xr:uid="{00000000-0005-0000-0000-000057200000}"/>
    <cellStyle name="Normal 9 5 2 4 3 2" xfId="15465" xr:uid="{24774251-C996-437A-A2F1-B70BEF726D9B}"/>
    <cellStyle name="Normal 9 5 2 4 4" xfId="11248" xr:uid="{17EABD08-EDFD-4E3A-8415-4A1E1B6DCFFC}"/>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6F893E96-4012-49CA-9FC6-D53E733C646A}"/>
    <cellStyle name="Normal 9 5 2 5 2 3" xfId="13806" xr:uid="{A02096DF-8D32-4FBB-ACB2-5B68DA41630D}"/>
    <cellStyle name="Normal 9 5 2 5 3" xfId="6552" xr:uid="{00000000-0005-0000-0000-00005B200000}"/>
    <cellStyle name="Normal 9 5 2 5 3 2" xfId="15878" xr:uid="{49E51152-2D49-4E00-B7E2-891400D8B309}"/>
    <cellStyle name="Normal 9 5 2 5 4" xfId="11661" xr:uid="{0A495908-E0DE-489E-8DD7-54BCB47000DD}"/>
    <cellStyle name="Normal 9 5 2 6" xfId="2682" xr:uid="{00000000-0005-0000-0000-00005C200000}"/>
    <cellStyle name="Normal 9 5 2 6 2" xfId="6965" xr:uid="{00000000-0005-0000-0000-00005D200000}"/>
    <cellStyle name="Normal 9 5 2 6 2 2" xfId="16291" xr:uid="{6AFA2407-C49E-472B-851D-12CAF62D93D8}"/>
    <cellStyle name="Normal 9 5 2 6 3" xfId="12074" xr:uid="{1E7EE05C-C888-4079-A442-98037ED3AA92}"/>
    <cellStyle name="Normal 9 5 2 7" xfId="4900" xr:uid="{00000000-0005-0000-0000-00005E200000}"/>
    <cellStyle name="Normal 9 5 2 7 2" xfId="14226" xr:uid="{D41EB2D9-69EA-4277-8B73-021845E74930}"/>
    <cellStyle name="Normal 9 5 2 8" xfId="9055" xr:uid="{3DD071E2-A4B3-45E3-9F20-3C2D5AEE5CB2}"/>
    <cellStyle name="Normal 9 5 2 9" xfId="10009" xr:uid="{3678270F-0A2C-4AAA-A2C1-C77ACCF1611D}"/>
    <cellStyle name="Normal 9 5 3" xfId="1003" xr:uid="{00000000-0005-0000-0000-00005F200000}"/>
    <cellStyle name="Normal 9 5 3 2" xfId="3235" xr:uid="{00000000-0005-0000-0000-000060200000}"/>
    <cellStyle name="Normal 9 5 3 2 2" xfId="7457" xr:uid="{00000000-0005-0000-0000-000061200000}"/>
    <cellStyle name="Normal 9 5 3 2 2 2" xfId="16783" xr:uid="{040EBB97-0D5A-4A60-8428-68342711CB3A}"/>
    <cellStyle name="Normal 9 5 3 2 3" xfId="12566" xr:uid="{0D6C043C-0B23-4C34-8DE4-ED6B3006FBCA}"/>
    <cellStyle name="Normal 9 5 3 3" xfId="5312" xr:uid="{00000000-0005-0000-0000-000062200000}"/>
    <cellStyle name="Normal 9 5 3 3 2" xfId="14638" xr:uid="{A12A7D3E-DA1D-4BE9-BFF0-E8AE570D07E5}"/>
    <cellStyle name="Normal 9 5 3 4" xfId="9273" xr:uid="{AE6CB61B-02C5-436E-A328-3B2AC8AC9E53}"/>
    <cellStyle name="Normal 9 5 3 5" xfId="10421" xr:uid="{ACD3A39F-1C41-4216-8BBE-692BA8A84D2A}"/>
    <cellStyle name="Normal 9 5 4" xfId="1418" xr:uid="{00000000-0005-0000-0000-000063200000}"/>
    <cellStyle name="Normal 9 5 4 2" xfId="3648" xr:uid="{00000000-0005-0000-0000-000064200000}"/>
    <cellStyle name="Normal 9 5 4 2 2" xfId="7870" xr:uid="{00000000-0005-0000-0000-000065200000}"/>
    <cellStyle name="Normal 9 5 4 2 2 2" xfId="17196" xr:uid="{4C79F5BC-D1BE-4399-A7B8-06869EF46375}"/>
    <cellStyle name="Normal 9 5 4 2 3" xfId="12979" xr:uid="{D5F7B413-7431-4156-898F-17296A188116}"/>
    <cellStyle name="Normal 9 5 4 3" xfId="5725" xr:uid="{00000000-0005-0000-0000-000066200000}"/>
    <cellStyle name="Normal 9 5 4 3 2" xfId="15051" xr:uid="{1D0884EC-95CB-45B4-961D-16B64FA5E4CA}"/>
    <cellStyle name="Normal 9 5 4 4" xfId="10834" xr:uid="{DC7874D8-EC65-492E-AA3D-2EDED4CAC869}"/>
    <cellStyle name="Normal 9 5 5" xfId="1831" xr:uid="{00000000-0005-0000-0000-000067200000}"/>
    <cellStyle name="Normal 9 5 5 2" xfId="4061" xr:uid="{00000000-0005-0000-0000-000068200000}"/>
    <cellStyle name="Normal 9 5 5 2 2" xfId="8283" xr:uid="{00000000-0005-0000-0000-000069200000}"/>
    <cellStyle name="Normal 9 5 5 2 2 2" xfId="17609" xr:uid="{FF79E291-49E5-4A3B-A9B1-5BDC7FD8C0E5}"/>
    <cellStyle name="Normal 9 5 5 2 3" xfId="13392" xr:uid="{8E954B86-D3E5-4418-8B09-57B5778B67DA}"/>
    <cellStyle name="Normal 9 5 5 3" xfId="6138" xr:uid="{00000000-0005-0000-0000-00006A200000}"/>
    <cellStyle name="Normal 9 5 5 3 2" xfId="15464" xr:uid="{A78F110E-AEDA-4AC2-B8B7-FB282ED450CF}"/>
    <cellStyle name="Normal 9 5 5 4" xfId="11247" xr:uid="{967D7A81-F7B8-4D88-86A4-924B27F68B6F}"/>
    <cellStyle name="Normal 9 5 6" xfId="2245" xr:uid="{00000000-0005-0000-0000-00006B200000}"/>
    <cellStyle name="Normal 9 5 6 2" xfId="4474" xr:uid="{00000000-0005-0000-0000-00006C200000}"/>
    <cellStyle name="Normal 9 5 6 2 2" xfId="8696" xr:uid="{00000000-0005-0000-0000-00006D200000}"/>
    <cellStyle name="Normal 9 5 6 2 2 2" xfId="18022" xr:uid="{1BA0B76F-F079-4B31-9750-585AD27B3BC5}"/>
    <cellStyle name="Normal 9 5 6 2 3" xfId="13805" xr:uid="{FF900771-5725-4ACF-9A64-D52F724471A8}"/>
    <cellStyle name="Normal 9 5 6 3" xfId="6551" xr:uid="{00000000-0005-0000-0000-00006E200000}"/>
    <cellStyle name="Normal 9 5 6 3 2" xfId="15877" xr:uid="{E1166537-8463-4BA2-B89C-3ED1782260A5}"/>
    <cellStyle name="Normal 9 5 6 4" xfId="11660" xr:uid="{80005E26-CFEB-46D2-A9D9-A3603143F78E}"/>
    <cellStyle name="Normal 9 5 7" xfId="2681" xr:uid="{00000000-0005-0000-0000-00006F200000}"/>
    <cellStyle name="Normal 9 5 7 2" xfId="6964" xr:uid="{00000000-0005-0000-0000-000070200000}"/>
    <cellStyle name="Normal 9 5 7 2 2" xfId="16290" xr:uid="{F004A3F5-263E-4641-8016-84F2B65D8C00}"/>
    <cellStyle name="Normal 9 5 7 3" xfId="12073" xr:uid="{4EA56B40-06CD-4F3E-88C6-DF77C047E372}"/>
    <cellStyle name="Normal 9 5 8" xfId="4899" xr:uid="{00000000-0005-0000-0000-000071200000}"/>
    <cellStyle name="Normal 9 5 8 2" xfId="14225" xr:uid="{4CE157CE-7F2F-4BB8-AA5E-406DC17A88C6}"/>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85" xr:uid="{2C3670DE-FABD-467D-B439-B11A4ACEA24D}"/>
    <cellStyle name="Normal 9 6 2 2 3" xfId="12568" xr:uid="{B19C0324-8715-4A30-A504-0B75F0056D8F}"/>
    <cellStyle name="Normal 9 6 2 3" xfId="5314" xr:uid="{00000000-0005-0000-0000-000076200000}"/>
    <cellStyle name="Normal 9 6 2 3 2" xfId="14640" xr:uid="{94F08E89-0CF7-4BC4-9B04-9FE10C779797}"/>
    <cellStyle name="Normal 9 6 2 4" xfId="9389" xr:uid="{2A0458F6-466A-4C3B-BA39-FF09FD770FDD}"/>
    <cellStyle name="Normal 9 6 2 5" xfId="10423" xr:uid="{C5FE2416-451C-4086-ACFB-DDF194F6DC0F}"/>
    <cellStyle name="Normal 9 6 3" xfId="1420" xr:uid="{00000000-0005-0000-0000-000077200000}"/>
    <cellStyle name="Normal 9 6 3 2" xfId="3650" xr:uid="{00000000-0005-0000-0000-000078200000}"/>
    <cellStyle name="Normal 9 6 3 2 2" xfId="7872" xr:uid="{00000000-0005-0000-0000-000079200000}"/>
    <cellStyle name="Normal 9 6 3 2 2 2" xfId="17198" xr:uid="{697DEB32-5382-4B89-B922-40886FE9190A}"/>
    <cellStyle name="Normal 9 6 3 2 3" xfId="12981" xr:uid="{BF5F5B52-12A0-42ED-9629-B1B9BCCBD00E}"/>
    <cellStyle name="Normal 9 6 3 3" xfId="5727" xr:uid="{00000000-0005-0000-0000-00007A200000}"/>
    <cellStyle name="Normal 9 6 3 3 2" xfId="15053" xr:uid="{9A73F7DF-E8D2-4B34-92DD-212167D39A4B}"/>
    <cellStyle name="Normal 9 6 3 4" xfId="10836" xr:uid="{2C620E8F-6D53-4620-BE79-457ED75FCE26}"/>
    <cellStyle name="Normal 9 6 4" xfId="1833" xr:uid="{00000000-0005-0000-0000-00007B200000}"/>
    <cellStyle name="Normal 9 6 4 2" xfId="4063" xr:uid="{00000000-0005-0000-0000-00007C200000}"/>
    <cellStyle name="Normal 9 6 4 2 2" xfId="8285" xr:uid="{00000000-0005-0000-0000-00007D200000}"/>
    <cellStyle name="Normal 9 6 4 2 2 2" xfId="17611" xr:uid="{CF899347-1213-45E4-9F89-780B045A1B91}"/>
    <cellStyle name="Normal 9 6 4 2 3" xfId="13394" xr:uid="{9992982C-CCA8-4B89-B017-4504C0715358}"/>
    <cellStyle name="Normal 9 6 4 3" xfId="6140" xr:uid="{00000000-0005-0000-0000-00007E200000}"/>
    <cellStyle name="Normal 9 6 4 3 2" xfId="15466" xr:uid="{EB28129C-0E42-4AE4-BC26-4079864FEF72}"/>
    <cellStyle name="Normal 9 6 4 4" xfId="11249" xr:uid="{C4F4CD4C-37AE-4C24-B136-5D578CA0542E}"/>
    <cellStyle name="Normal 9 6 5" xfId="2247" xr:uid="{00000000-0005-0000-0000-00007F200000}"/>
    <cellStyle name="Normal 9 6 5 2" xfId="4476" xr:uid="{00000000-0005-0000-0000-000080200000}"/>
    <cellStyle name="Normal 9 6 5 2 2" xfId="8698" xr:uid="{00000000-0005-0000-0000-000081200000}"/>
    <cellStyle name="Normal 9 6 5 2 2 2" xfId="18024" xr:uid="{6DEEE52E-A906-4BE2-892F-F122EB687AB1}"/>
    <cellStyle name="Normal 9 6 5 2 3" xfId="13807" xr:uid="{F15392E4-C09C-44FF-8173-856102CA68D2}"/>
    <cellStyle name="Normal 9 6 5 3" xfId="6553" xr:uid="{00000000-0005-0000-0000-000082200000}"/>
    <cellStyle name="Normal 9 6 5 3 2" xfId="15879" xr:uid="{DBD69C21-7052-4481-AEC0-453D47D3D0CB}"/>
    <cellStyle name="Normal 9 6 5 4" xfId="11662" xr:uid="{4F7D819E-AE0A-48B7-B48C-EC444185D7B8}"/>
    <cellStyle name="Normal 9 6 6" xfId="2683" xr:uid="{00000000-0005-0000-0000-000083200000}"/>
    <cellStyle name="Normal 9 6 6 2" xfId="6966" xr:uid="{00000000-0005-0000-0000-000084200000}"/>
    <cellStyle name="Normal 9 6 6 2 2" xfId="16292" xr:uid="{5D6AB136-C336-4E08-AD3D-5E41D8613FB5}"/>
    <cellStyle name="Normal 9 6 6 3" xfId="12075" xr:uid="{DBF6EE6C-A5F6-4110-B57F-3E562486F6D6}"/>
    <cellStyle name="Normal 9 6 7" xfId="4901" xr:uid="{00000000-0005-0000-0000-000085200000}"/>
    <cellStyle name="Normal 9 6 7 2" xfId="14227" xr:uid="{7DC36E66-9D93-4C17-A501-B68A6A62BEBB}"/>
    <cellStyle name="Normal 9 6 8" xfId="8964" xr:uid="{9BBC9C46-7A3A-4BC9-9542-DC33DFA165C2}"/>
    <cellStyle name="Normal 9 6 9" xfId="10010" xr:uid="{4DB3FCE8-14F8-42F5-A5E2-E5141B551EDF}"/>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5B6E248F-EE74-4E3B-ACF0-74B927C3203F}"/>
    <cellStyle name="Note 2 2 10 3" xfId="12156" xr:uid="{DC9CC9EF-5953-4264-BE88-8811153BC3E8}"/>
    <cellStyle name="Note 2 2 11" xfId="4902" xr:uid="{00000000-0005-0000-0000-000094200000}"/>
    <cellStyle name="Note 2 2 11 2" xfId="14228" xr:uid="{8610055D-FF5B-4C3D-954A-AD4C66C6FC20}"/>
    <cellStyle name="Note 2 2 12" xfId="8841" xr:uid="{E94E1FD8-31C4-4718-9658-C7A587CBF323}"/>
    <cellStyle name="Note 2 2 13" xfId="10011" xr:uid="{5FBA501B-CA23-4AF3-AE05-AE18AADDBAF8}"/>
    <cellStyle name="Note 2 2 2" xfId="546" xr:uid="{00000000-0005-0000-0000-000095200000}"/>
    <cellStyle name="Note 2 2 2 10" xfId="4903" xr:uid="{00000000-0005-0000-0000-000096200000}"/>
    <cellStyle name="Note 2 2 2 10 2" xfId="14229" xr:uid="{44E8198A-85AE-4478-89CE-C24DB0B568AE}"/>
    <cellStyle name="Note 2 2 2 11" xfId="8944" xr:uid="{B75A3404-A4A3-41D6-B6C3-54560C6DD592}"/>
    <cellStyle name="Note 2 2 2 12" xfId="10012" xr:uid="{4A5FE21C-136C-48B8-B7A0-6F21FD36E7D3}"/>
    <cellStyle name="Note 2 2 2 2" xfId="547" xr:uid="{00000000-0005-0000-0000-000097200000}"/>
    <cellStyle name="Note 2 2 2 2 10" xfId="9151" xr:uid="{DE810DD8-00EC-4339-9CFC-C84D5E182971}"/>
    <cellStyle name="Note 2 2 2 2 11" xfId="10013" xr:uid="{FB4D96FC-784B-4424-9195-135C35AAD490}"/>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EEEA0A3F-2962-42C5-8011-3C3C9FA14E77}"/>
    <cellStyle name="Note 2 2 2 2 2 2 3" xfId="12571" xr:uid="{4AC641C3-187F-4ACA-879A-EC26D14DDE2F}"/>
    <cellStyle name="Note 2 2 2 2 2 3" xfId="5317" xr:uid="{00000000-0005-0000-0000-00009B200000}"/>
    <cellStyle name="Note 2 2 2 2 2 3 2" xfId="14643" xr:uid="{905000FE-53D0-4BDD-9B46-376D0F640B2B}"/>
    <cellStyle name="Note 2 2 2 2 2 4" xfId="9576" xr:uid="{375E296C-598F-454E-B7C4-9E851CE02ED2}"/>
    <cellStyle name="Note 2 2 2 2 2 5" xfId="10426" xr:uid="{9BC25316-AEA6-407C-8B24-50E879C59066}"/>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FB360184-EEE6-4EE8-870F-A023E88E8361}"/>
    <cellStyle name="Note 2 2 2 2 3 2 3" xfId="12984" xr:uid="{7C60FB61-B94D-4055-9378-6C74E27CFF82}"/>
    <cellStyle name="Note 2 2 2 2 3 3" xfId="5730" xr:uid="{00000000-0005-0000-0000-00009F200000}"/>
    <cellStyle name="Note 2 2 2 2 3 3 2" xfId="15056" xr:uid="{1F606525-BF02-4F21-A343-3DEE4DBEF8F1}"/>
    <cellStyle name="Note 2 2 2 2 3 4" xfId="10839" xr:uid="{9C2CBD52-1C70-410A-9890-CD0742A19BAF}"/>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E2895651-7DB9-479A-AE42-77049A2FADDE}"/>
    <cellStyle name="Note 2 2 2 2 4 2 3" xfId="13397" xr:uid="{37CBBFFC-93E9-4BA3-BCBA-9B854139726A}"/>
    <cellStyle name="Note 2 2 2 2 4 3" xfId="6143" xr:uid="{00000000-0005-0000-0000-0000A3200000}"/>
    <cellStyle name="Note 2 2 2 2 4 3 2" xfId="15469" xr:uid="{4AEBF61C-E259-4483-8588-A4F7788BE912}"/>
    <cellStyle name="Note 2 2 2 2 4 4" xfId="11252" xr:uid="{3E4F2FDD-9394-4094-9154-F7557F8D3C18}"/>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01188A9A-9734-4EFF-8D40-3C8E28DD96F2}"/>
    <cellStyle name="Note 2 2 2 2 5 2 3" xfId="13810" xr:uid="{20D25CA4-855E-4E08-97A8-DE0470E597FA}"/>
    <cellStyle name="Note 2 2 2 2 5 3" xfId="6556" xr:uid="{00000000-0005-0000-0000-0000A7200000}"/>
    <cellStyle name="Note 2 2 2 2 5 3 2" xfId="15882" xr:uid="{FB625A7F-6610-4968-816C-0F568AB94D06}"/>
    <cellStyle name="Note 2 2 2 2 5 4" xfId="11665" xr:uid="{7FB4CF95-41B7-4A87-9AB5-318622056617}"/>
    <cellStyle name="Note 2 2 2 2 6" xfId="2686" xr:uid="{00000000-0005-0000-0000-0000A8200000}"/>
    <cellStyle name="Note 2 2 2 2 6 2" xfId="6969" xr:uid="{00000000-0005-0000-0000-0000A9200000}"/>
    <cellStyle name="Note 2 2 2 2 6 2 2" xfId="16295" xr:uid="{BF5C2B61-D175-4ED3-8EE3-309065333581}"/>
    <cellStyle name="Note 2 2 2 2 6 3" xfId="12078" xr:uid="{8FBFCD5A-B8A6-4420-98BD-F361FB373DE9}"/>
    <cellStyle name="Note 2 2 2 2 7" xfId="2745" xr:uid="{00000000-0005-0000-0000-0000AA200000}"/>
    <cellStyle name="Note 2 2 2 2 8" xfId="2826" xr:uid="{00000000-0005-0000-0000-0000AB200000}"/>
    <cellStyle name="Note 2 2 2 2 8 2" xfId="7049" xr:uid="{00000000-0005-0000-0000-0000AC200000}"/>
    <cellStyle name="Note 2 2 2 2 8 2 2" xfId="16375" xr:uid="{CEC0C717-F8A5-4E64-8D8E-95DF672E4F2E}"/>
    <cellStyle name="Note 2 2 2 2 8 3" xfId="12158" xr:uid="{128B7F81-9031-4634-88CE-3A5CA49AE35C}"/>
    <cellStyle name="Note 2 2 2 2 9" xfId="4904" xr:uid="{00000000-0005-0000-0000-0000AD200000}"/>
    <cellStyle name="Note 2 2 2 2 9 2" xfId="14230" xr:uid="{BA10B52B-5EE1-4617-8F25-44DA096C3A1D}"/>
    <cellStyle name="Note 2 2 2 3" xfId="1007" xr:uid="{00000000-0005-0000-0000-0000AE200000}"/>
    <cellStyle name="Note 2 2 2 3 2" xfId="3239" xr:uid="{00000000-0005-0000-0000-0000AF200000}"/>
    <cellStyle name="Note 2 2 2 3 2 2" xfId="7461" xr:uid="{00000000-0005-0000-0000-0000B0200000}"/>
    <cellStyle name="Note 2 2 2 3 2 2 2" xfId="16787" xr:uid="{DAE61645-3AFE-4EDB-B40B-5E8097455A75}"/>
    <cellStyle name="Note 2 2 2 3 2 3" xfId="12570" xr:uid="{104AC7B0-A6B8-491B-A6CD-48AFFF358A80}"/>
    <cellStyle name="Note 2 2 2 3 3" xfId="5316" xr:uid="{00000000-0005-0000-0000-0000B1200000}"/>
    <cellStyle name="Note 2 2 2 3 3 2" xfId="14642" xr:uid="{85D84005-47CE-4F07-B51A-5B0553CD6437}"/>
    <cellStyle name="Note 2 2 2 3 4" xfId="9369" xr:uid="{37FCA23B-964B-404F-A343-B489211FDCDC}"/>
    <cellStyle name="Note 2 2 2 3 5" xfId="10425" xr:uid="{C3D9F060-8871-456F-916A-1544EE1608F8}"/>
    <cellStyle name="Note 2 2 2 4" xfId="1422" xr:uid="{00000000-0005-0000-0000-0000B2200000}"/>
    <cellStyle name="Note 2 2 2 4 2" xfId="3652" xr:uid="{00000000-0005-0000-0000-0000B3200000}"/>
    <cellStyle name="Note 2 2 2 4 2 2" xfId="7874" xr:uid="{00000000-0005-0000-0000-0000B4200000}"/>
    <cellStyle name="Note 2 2 2 4 2 2 2" xfId="17200" xr:uid="{52BAADF3-8CB8-4B0C-AEAE-7212F4A03527}"/>
    <cellStyle name="Note 2 2 2 4 2 3" xfId="12983" xr:uid="{67B24D0E-4746-4020-842A-6F1A2FFAE1C2}"/>
    <cellStyle name="Note 2 2 2 4 3" xfId="5729" xr:uid="{00000000-0005-0000-0000-0000B5200000}"/>
    <cellStyle name="Note 2 2 2 4 3 2" xfId="15055" xr:uid="{B4F98FF5-6194-4E90-AF46-586AB4103158}"/>
    <cellStyle name="Note 2 2 2 4 4" xfId="10838" xr:uid="{ACEFB41A-DBAB-4309-8062-C2CB9D5372D6}"/>
    <cellStyle name="Note 2 2 2 5" xfId="1836" xr:uid="{00000000-0005-0000-0000-0000B6200000}"/>
    <cellStyle name="Note 2 2 2 5 2" xfId="4065" xr:uid="{00000000-0005-0000-0000-0000B7200000}"/>
    <cellStyle name="Note 2 2 2 5 2 2" xfId="8287" xr:uid="{00000000-0005-0000-0000-0000B8200000}"/>
    <cellStyle name="Note 2 2 2 5 2 2 2" xfId="17613" xr:uid="{FF99428F-A4D6-4FFB-B3B6-54D2DDDEF2C7}"/>
    <cellStyle name="Note 2 2 2 5 2 3" xfId="13396" xr:uid="{F8C14C08-7572-4B4C-B25B-31EAAECD54D8}"/>
    <cellStyle name="Note 2 2 2 5 3" xfId="6142" xr:uid="{00000000-0005-0000-0000-0000B9200000}"/>
    <cellStyle name="Note 2 2 2 5 3 2" xfId="15468" xr:uid="{724C1BD8-47F8-4EB4-A61E-AADC3865BE23}"/>
    <cellStyle name="Note 2 2 2 5 4" xfId="11251" xr:uid="{09AC12AB-8501-4F87-9350-EA32B23948B9}"/>
    <cellStyle name="Note 2 2 2 6" xfId="2249" xr:uid="{00000000-0005-0000-0000-0000BA200000}"/>
    <cellStyle name="Note 2 2 2 6 2" xfId="4478" xr:uid="{00000000-0005-0000-0000-0000BB200000}"/>
    <cellStyle name="Note 2 2 2 6 2 2" xfId="8700" xr:uid="{00000000-0005-0000-0000-0000BC200000}"/>
    <cellStyle name="Note 2 2 2 6 2 2 2" xfId="18026" xr:uid="{17ABF4F6-BB66-4EEE-A0D7-7738C8543FCE}"/>
    <cellStyle name="Note 2 2 2 6 2 3" xfId="13809" xr:uid="{8AF82988-F265-4899-B1AB-471E065278B5}"/>
    <cellStyle name="Note 2 2 2 6 3" xfId="6555" xr:uid="{00000000-0005-0000-0000-0000BD200000}"/>
    <cellStyle name="Note 2 2 2 6 3 2" xfId="15881" xr:uid="{3F721A38-E3F8-4F05-AD25-AC12552137B7}"/>
    <cellStyle name="Note 2 2 2 6 4" xfId="11664" xr:uid="{2DA8B5EC-B937-4C1A-B4DA-44270B29AC32}"/>
    <cellStyle name="Note 2 2 2 7" xfId="2685" xr:uid="{00000000-0005-0000-0000-0000BE200000}"/>
    <cellStyle name="Note 2 2 2 7 2" xfId="6968" xr:uid="{00000000-0005-0000-0000-0000BF200000}"/>
    <cellStyle name="Note 2 2 2 7 2 2" xfId="16294" xr:uid="{74ED53F0-69BA-4742-A007-755253EE5ED9}"/>
    <cellStyle name="Note 2 2 2 7 3" xfId="12077" xr:uid="{87F43A3E-11CF-4979-9330-691680288D5D}"/>
    <cellStyle name="Note 2 2 2 8" xfId="2744" xr:uid="{00000000-0005-0000-0000-0000C0200000}"/>
    <cellStyle name="Note 2 2 2 9" xfId="2825" xr:uid="{00000000-0005-0000-0000-0000C1200000}"/>
    <cellStyle name="Note 2 2 2 9 2" xfId="7048" xr:uid="{00000000-0005-0000-0000-0000C2200000}"/>
    <cellStyle name="Note 2 2 2 9 2 2" xfId="16374" xr:uid="{48055030-17AD-47AC-B4D5-AFD657184693}"/>
    <cellStyle name="Note 2 2 2 9 3" xfId="12157" xr:uid="{BC7D4E5F-436D-4733-B760-4E4F264DEB53}"/>
    <cellStyle name="Note 2 2 3" xfId="548" xr:uid="{00000000-0005-0000-0000-0000C3200000}"/>
    <cellStyle name="Note 2 2 3 10" xfId="9048" xr:uid="{894401FF-B7D8-49E8-91E6-A1C42DD04D54}"/>
    <cellStyle name="Note 2 2 3 11" xfId="10014" xr:uid="{45DCB2C0-8FEE-4FC4-BA27-B1B93FDEEFA4}"/>
    <cellStyle name="Note 2 2 3 2" xfId="1009" xr:uid="{00000000-0005-0000-0000-0000C4200000}"/>
    <cellStyle name="Note 2 2 3 2 2" xfId="3241" xr:uid="{00000000-0005-0000-0000-0000C5200000}"/>
    <cellStyle name="Note 2 2 3 2 2 2" xfId="7463" xr:uid="{00000000-0005-0000-0000-0000C6200000}"/>
    <cellStyle name="Note 2 2 3 2 2 2 2" xfId="16789" xr:uid="{E5430475-EEB2-4EE4-BF94-30C62E982307}"/>
    <cellStyle name="Note 2 2 3 2 2 3" xfId="12572" xr:uid="{62EF5963-76CB-4DFC-AB44-6F290C2A16B8}"/>
    <cellStyle name="Note 2 2 3 2 3" xfId="5318" xr:uid="{00000000-0005-0000-0000-0000C7200000}"/>
    <cellStyle name="Note 2 2 3 2 3 2" xfId="14644" xr:uid="{76E8236E-564C-4CB6-A098-F212CCC94EA2}"/>
    <cellStyle name="Note 2 2 3 2 4" xfId="9473" xr:uid="{7711F4E0-385B-44CD-ACEA-5E9D7E4CD8DC}"/>
    <cellStyle name="Note 2 2 3 2 5" xfId="10427" xr:uid="{ACA313E7-5F9D-441C-8B64-FF8AE44C8E54}"/>
    <cellStyle name="Note 2 2 3 3" xfId="1424" xr:uid="{00000000-0005-0000-0000-0000C8200000}"/>
    <cellStyle name="Note 2 2 3 3 2" xfId="3654" xr:uid="{00000000-0005-0000-0000-0000C9200000}"/>
    <cellStyle name="Note 2 2 3 3 2 2" xfId="7876" xr:uid="{00000000-0005-0000-0000-0000CA200000}"/>
    <cellStyle name="Note 2 2 3 3 2 2 2" xfId="17202" xr:uid="{00E52441-E844-4F99-BC2C-42EA44162117}"/>
    <cellStyle name="Note 2 2 3 3 2 3" xfId="12985" xr:uid="{D475F165-B88F-42CA-BC61-5AD986316B74}"/>
    <cellStyle name="Note 2 2 3 3 3" xfId="5731" xr:uid="{00000000-0005-0000-0000-0000CB200000}"/>
    <cellStyle name="Note 2 2 3 3 3 2" xfId="15057" xr:uid="{7625E7ED-1426-483B-A26C-19183FE91BB9}"/>
    <cellStyle name="Note 2 2 3 3 4" xfId="10840" xr:uid="{58C8CDFF-2287-43F7-BBE1-CD675621DE62}"/>
    <cellStyle name="Note 2 2 3 4" xfId="1838" xr:uid="{00000000-0005-0000-0000-0000CC200000}"/>
    <cellStyle name="Note 2 2 3 4 2" xfId="4067" xr:uid="{00000000-0005-0000-0000-0000CD200000}"/>
    <cellStyle name="Note 2 2 3 4 2 2" xfId="8289" xr:uid="{00000000-0005-0000-0000-0000CE200000}"/>
    <cellStyle name="Note 2 2 3 4 2 2 2" xfId="17615" xr:uid="{1F91810C-FA57-4878-B934-6184CD6F5F7E}"/>
    <cellStyle name="Note 2 2 3 4 2 3" xfId="13398" xr:uid="{21DC8CBE-A72A-4CFB-9336-616396DDC8E7}"/>
    <cellStyle name="Note 2 2 3 4 3" xfId="6144" xr:uid="{00000000-0005-0000-0000-0000CF200000}"/>
    <cellStyle name="Note 2 2 3 4 3 2" xfId="15470" xr:uid="{74EEF8E5-BBFC-4AD4-B93A-EAFF9B4D6429}"/>
    <cellStyle name="Note 2 2 3 4 4" xfId="11253" xr:uid="{8A50C7FE-3D72-4FD8-983E-C85BBCCC09F3}"/>
    <cellStyle name="Note 2 2 3 5" xfId="2251" xr:uid="{00000000-0005-0000-0000-0000D0200000}"/>
    <cellStyle name="Note 2 2 3 5 2" xfId="4480" xr:uid="{00000000-0005-0000-0000-0000D1200000}"/>
    <cellStyle name="Note 2 2 3 5 2 2" xfId="8702" xr:uid="{00000000-0005-0000-0000-0000D2200000}"/>
    <cellStyle name="Note 2 2 3 5 2 2 2" xfId="18028" xr:uid="{0D7E9C38-EA15-4F7D-8E10-A4D1C3F00EB6}"/>
    <cellStyle name="Note 2 2 3 5 2 3" xfId="13811" xr:uid="{725CB0DD-3716-453C-8C62-D1F913E7751B}"/>
    <cellStyle name="Note 2 2 3 5 3" xfId="6557" xr:uid="{00000000-0005-0000-0000-0000D3200000}"/>
    <cellStyle name="Note 2 2 3 5 3 2" xfId="15883" xr:uid="{FC4F3110-D484-43CB-B33C-BF5BCA5F9A81}"/>
    <cellStyle name="Note 2 2 3 5 4" xfId="11666" xr:uid="{5FF0EE6A-0C35-4182-B78C-C959328D17AD}"/>
    <cellStyle name="Note 2 2 3 6" xfId="2687" xr:uid="{00000000-0005-0000-0000-0000D4200000}"/>
    <cellStyle name="Note 2 2 3 6 2" xfId="6970" xr:uid="{00000000-0005-0000-0000-0000D5200000}"/>
    <cellStyle name="Note 2 2 3 6 2 2" xfId="16296" xr:uid="{7AC66494-C17D-4C7A-8607-CC6B4FB46ACC}"/>
    <cellStyle name="Note 2 2 3 6 3" xfId="12079" xr:uid="{9CF0D914-39B0-45D1-A2B9-638C91842169}"/>
    <cellStyle name="Note 2 2 3 7" xfId="2746" xr:uid="{00000000-0005-0000-0000-0000D6200000}"/>
    <cellStyle name="Note 2 2 3 8" xfId="2827" xr:uid="{00000000-0005-0000-0000-0000D7200000}"/>
    <cellStyle name="Note 2 2 3 8 2" xfId="7050" xr:uid="{00000000-0005-0000-0000-0000D8200000}"/>
    <cellStyle name="Note 2 2 3 8 2 2" xfId="16376" xr:uid="{8866254E-40DA-4E74-9B85-BB80DAF1A17A}"/>
    <cellStyle name="Note 2 2 3 8 3" xfId="12159" xr:uid="{F70E8300-1939-4819-9EE8-B268178FC47E}"/>
    <cellStyle name="Note 2 2 3 9" xfId="4905" xr:uid="{00000000-0005-0000-0000-0000D9200000}"/>
    <cellStyle name="Note 2 2 3 9 2" xfId="14231" xr:uid="{FC02EA0B-578F-4E08-896D-31ACCEFAB6F7}"/>
    <cellStyle name="Note 2 2 4" xfId="1006" xr:uid="{00000000-0005-0000-0000-0000DA200000}"/>
    <cellStyle name="Note 2 2 4 2" xfId="3238" xr:uid="{00000000-0005-0000-0000-0000DB200000}"/>
    <cellStyle name="Note 2 2 4 2 2" xfId="7460" xr:uid="{00000000-0005-0000-0000-0000DC200000}"/>
    <cellStyle name="Note 2 2 4 2 2 2" xfId="16786" xr:uid="{7D129F6F-DC95-4531-801E-ED720A993CD4}"/>
    <cellStyle name="Note 2 2 4 2 3" xfId="12569" xr:uid="{DA955122-9C9A-4DC1-B64B-02A361DAFA97}"/>
    <cellStyle name="Note 2 2 4 3" xfId="5315" xr:uid="{00000000-0005-0000-0000-0000DD200000}"/>
    <cellStyle name="Note 2 2 4 3 2" xfId="14641" xr:uid="{AFF69A2C-D3B1-41A1-B31B-D1F1C3977135}"/>
    <cellStyle name="Note 2 2 4 4" xfId="9266" xr:uid="{8B6F7B8D-50FA-47DA-836F-17B0F9492E54}"/>
    <cellStyle name="Note 2 2 4 5" xfId="10424" xr:uid="{1333ACBC-E64E-4257-A522-B04C5B4C6622}"/>
    <cellStyle name="Note 2 2 5" xfId="1421" xr:uid="{00000000-0005-0000-0000-0000DE200000}"/>
    <cellStyle name="Note 2 2 5 2" xfId="3651" xr:uid="{00000000-0005-0000-0000-0000DF200000}"/>
    <cellStyle name="Note 2 2 5 2 2" xfId="7873" xr:uid="{00000000-0005-0000-0000-0000E0200000}"/>
    <cellStyle name="Note 2 2 5 2 2 2" xfId="17199" xr:uid="{213F7345-F7DC-41CF-A336-82BC09EB71C7}"/>
    <cellStyle name="Note 2 2 5 2 3" xfId="12982" xr:uid="{DF169197-A4B4-4F96-974C-177A1E24E5B6}"/>
    <cellStyle name="Note 2 2 5 3" xfId="5728" xr:uid="{00000000-0005-0000-0000-0000E1200000}"/>
    <cellStyle name="Note 2 2 5 3 2" xfId="15054" xr:uid="{72CB847C-EE36-48C8-B3EC-B77B20D091A5}"/>
    <cellStyle name="Note 2 2 5 4" xfId="10837" xr:uid="{B9EF09A6-4E1E-440E-A1CF-4C04A44F1946}"/>
    <cellStyle name="Note 2 2 6" xfId="1835" xr:uid="{00000000-0005-0000-0000-0000E2200000}"/>
    <cellStyle name="Note 2 2 6 2" xfId="4064" xr:uid="{00000000-0005-0000-0000-0000E3200000}"/>
    <cellStyle name="Note 2 2 6 2 2" xfId="8286" xr:uid="{00000000-0005-0000-0000-0000E4200000}"/>
    <cellStyle name="Note 2 2 6 2 2 2" xfId="17612" xr:uid="{51D98C06-DF31-4EFA-9B6A-E4D18764AB5E}"/>
    <cellStyle name="Note 2 2 6 2 3" xfId="13395" xr:uid="{F4DA79AB-51A9-40E1-B27C-1B677C9879EF}"/>
    <cellStyle name="Note 2 2 6 3" xfId="6141" xr:uid="{00000000-0005-0000-0000-0000E5200000}"/>
    <cellStyle name="Note 2 2 6 3 2" xfId="15467" xr:uid="{535C27BF-F35A-4CA4-9AC0-BA2AB09F811A}"/>
    <cellStyle name="Note 2 2 6 4" xfId="11250" xr:uid="{76C2F43D-8F02-45D8-905A-54E89B34877C}"/>
    <cellStyle name="Note 2 2 7" xfId="2248" xr:uid="{00000000-0005-0000-0000-0000E6200000}"/>
    <cellStyle name="Note 2 2 7 2" xfId="4477" xr:uid="{00000000-0005-0000-0000-0000E7200000}"/>
    <cellStyle name="Note 2 2 7 2 2" xfId="8699" xr:uid="{00000000-0005-0000-0000-0000E8200000}"/>
    <cellStyle name="Note 2 2 7 2 2 2" xfId="18025" xr:uid="{07934AAF-E497-4D19-99C7-07A6D8F8DF9A}"/>
    <cellStyle name="Note 2 2 7 2 3" xfId="13808" xr:uid="{0DB78366-0F7F-4BC9-A5CE-2E409CD4180A}"/>
    <cellStyle name="Note 2 2 7 3" xfId="6554" xr:uid="{00000000-0005-0000-0000-0000E9200000}"/>
    <cellStyle name="Note 2 2 7 3 2" xfId="15880" xr:uid="{B8600329-5565-4EA7-86CE-37AAD89F3341}"/>
    <cellStyle name="Note 2 2 7 4" xfId="11663" xr:uid="{1903F6D0-D436-49B4-AD67-6D0D1EB6CE97}"/>
    <cellStyle name="Note 2 2 8" xfId="2684" xr:uid="{00000000-0005-0000-0000-0000EA200000}"/>
    <cellStyle name="Note 2 2 8 2" xfId="6967" xr:uid="{00000000-0005-0000-0000-0000EB200000}"/>
    <cellStyle name="Note 2 2 8 2 2" xfId="16293" xr:uid="{1B9044E5-61A0-4482-B2B8-401FDF8E35BF}"/>
    <cellStyle name="Note 2 2 8 3" xfId="12076" xr:uid="{B6A35BBB-22D5-481A-AFE7-B209E9B3AAEC}"/>
    <cellStyle name="Note 2 2 9" xfId="2743" xr:uid="{00000000-0005-0000-0000-0000EC200000}"/>
    <cellStyle name="Note 2 3" xfId="549" xr:uid="{00000000-0005-0000-0000-0000ED200000}"/>
    <cellStyle name="Note 2 3 10" xfId="4906" xr:uid="{00000000-0005-0000-0000-0000EE200000}"/>
    <cellStyle name="Note 2 3 10 2" xfId="14232" xr:uid="{B53D2BD3-4F53-4E13-8127-BB2317B11B78}"/>
    <cellStyle name="Note 2 3 11" xfId="8894" xr:uid="{2BFFE8D0-DA42-4876-8895-58F80713E965}"/>
    <cellStyle name="Note 2 3 12" xfId="10015" xr:uid="{631E20DA-73FD-4E3F-861E-88814CC984CF}"/>
    <cellStyle name="Note 2 3 2" xfId="550" xr:uid="{00000000-0005-0000-0000-0000EF200000}"/>
    <cellStyle name="Note 2 3 2 10" xfId="9101" xr:uid="{1822EEA2-225E-465E-B4CD-D4615440EC62}"/>
    <cellStyle name="Note 2 3 2 11" xfId="10016" xr:uid="{4C75E2E2-71F5-476D-9ED4-8330A8E3355F}"/>
    <cellStyle name="Note 2 3 2 2" xfId="1011" xr:uid="{00000000-0005-0000-0000-0000F0200000}"/>
    <cellStyle name="Note 2 3 2 2 2" xfId="3243" xr:uid="{00000000-0005-0000-0000-0000F1200000}"/>
    <cellStyle name="Note 2 3 2 2 2 2" xfId="7465" xr:uid="{00000000-0005-0000-0000-0000F2200000}"/>
    <cellStyle name="Note 2 3 2 2 2 2 2" xfId="16791" xr:uid="{BA7630A3-D9E6-4AFB-92B3-4469F1ECD1EC}"/>
    <cellStyle name="Note 2 3 2 2 2 3" xfId="12574" xr:uid="{9F5B5E8F-FBBF-4847-AED8-030701DF72EB}"/>
    <cellStyle name="Note 2 3 2 2 3" xfId="5320" xr:uid="{00000000-0005-0000-0000-0000F3200000}"/>
    <cellStyle name="Note 2 3 2 2 3 2" xfId="14646" xr:uid="{26598DE9-CBF7-47E3-BEE8-8A00453988A5}"/>
    <cellStyle name="Note 2 3 2 2 4" xfId="9526" xr:uid="{1C428179-0C82-4F5D-9FE4-E11D597F9E89}"/>
    <cellStyle name="Note 2 3 2 2 5" xfId="10429" xr:uid="{86F52B23-A0CA-494D-A60D-C82C6B82E996}"/>
    <cellStyle name="Note 2 3 2 3" xfId="1426" xr:uid="{00000000-0005-0000-0000-0000F4200000}"/>
    <cellStyle name="Note 2 3 2 3 2" xfId="3656" xr:uid="{00000000-0005-0000-0000-0000F5200000}"/>
    <cellStyle name="Note 2 3 2 3 2 2" xfId="7878" xr:uid="{00000000-0005-0000-0000-0000F6200000}"/>
    <cellStyle name="Note 2 3 2 3 2 2 2" xfId="17204" xr:uid="{168524B5-556B-4D8A-826F-620AB5FD266D}"/>
    <cellStyle name="Note 2 3 2 3 2 3" xfId="12987" xr:uid="{A457B1D7-F4AB-4548-8B54-71F2695DC21C}"/>
    <cellStyle name="Note 2 3 2 3 3" xfId="5733" xr:uid="{00000000-0005-0000-0000-0000F7200000}"/>
    <cellStyle name="Note 2 3 2 3 3 2" xfId="15059" xr:uid="{9F26AD35-3BB0-4DBB-AD46-B2638F9E5BE4}"/>
    <cellStyle name="Note 2 3 2 3 4" xfId="10842" xr:uid="{533922C2-1970-4B1A-8B41-0EE5B55F8CA2}"/>
    <cellStyle name="Note 2 3 2 4" xfId="1840" xr:uid="{00000000-0005-0000-0000-0000F8200000}"/>
    <cellStyle name="Note 2 3 2 4 2" xfId="4069" xr:uid="{00000000-0005-0000-0000-0000F9200000}"/>
    <cellStyle name="Note 2 3 2 4 2 2" xfId="8291" xr:uid="{00000000-0005-0000-0000-0000FA200000}"/>
    <cellStyle name="Note 2 3 2 4 2 2 2" xfId="17617" xr:uid="{3AA510EE-692F-4271-8023-AC78DD7CC97B}"/>
    <cellStyle name="Note 2 3 2 4 2 3" xfId="13400" xr:uid="{29D7E136-35CA-4C30-ACBC-5551681FDFCC}"/>
    <cellStyle name="Note 2 3 2 4 3" xfId="6146" xr:uid="{00000000-0005-0000-0000-0000FB200000}"/>
    <cellStyle name="Note 2 3 2 4 3 2" xfId="15472" xr:uid="{C007DB10-3FC5-43E1-9959-D52B18A01777}"/>
    <cellStyle name="Note 2 3 2 4 4" xfId="11255" xr:uid="{9E1D8BBD-B836-485A-BF00-CE84E20F9860}"/>
    <cellStyle name="Note 2 3 2 5" xfId="2253" xr:uid="{00000000-0005-0000-0000-0000FC200000}"/>
    <cellStyle name="Note 2 3 2 5 2" xfId="4482" xr:uid="{00000000-0005-0000-0000-0000FD200000}"/>
    <cellStyle name="Note 2 3 2 5 2 2" xfId="8704" xr:uid="{00000000-0005-0000-0000-0000FE200000}"/>
    <cellStyle name="Note 2 3 2 5 2 2 2" xfId="18030" xr:uid="{4331EE26-CCAE-4355-B406-9B9B64F9D227}"/>
    <cellStyle name="Note 2 3 2 5 2 3" xfId="13813" xr:uid="{FCE09EE6-EE75-4E12-9BA7-1E5928DD6128}"/>
    <cellStyle name="Note 2 3 2 5 3" xfId="6559" xr:uid="{00000000-0005-0000-0000-0000FF200000}"/>
    <cellStyle name="Note 2 3 2 5 3 2" xfId="15885" xr:uid="{7024ABD1-CE32-40E2-8E9B-52195743D7EF}"/>
    <cellStyle name="Note 2 3 2 5 4" xfId="11668" xr:uid="{FCFB2AD9-EF72-4C9E-A53F-E127FDCFD555}"/>
    <cellStyle name="Note 2 3 2 6" xfId="2689" xr:uid="{00000000-0005-0000-0000-000000210000}"/>
    <cellStyle name="Note 2 3 2 6 2" xfId="6972" xr:uid="{00000000-0005-0000-0000-000001210000}"/>
    <cellStyle name="Note 2 3 2 6 2 2" xfId="16298" xr:uid="{27D451D0-1289-49DC-962E-79EB5B7E2F40}"/>
    <cellStyle name="Note 2 3 2 6 3" xfId="12081" xr:uid="{5A484920-C2DE-4749-9DBA-E911AE628980}"/>
    <cellStyle name="Note 2 3 2 7" xfId="2748" xr:uid="{00000000-0005-0000-0000-000002210000}"/>
    <cellStyle name="Note 2 3 2 8" xfId="2829" xr:uid="{00000000-0005-0000-0000-000003210000}"/>
    <cellStyle name="Note 2 3 2 8 2" xfId="7052" xr:uid="{00000000-0005-0000-0000-000004210000}"/>
    <cellStyle name="Note 2 3 2 8 2 2" xfId="16378" xr:uid="{E2B55167-FEBE-49FC-B56A-0200E75CE2F3}"/>
    <cellStyle name="Note 2 3 2 8 3" xfId="12161" xr:uid="{CC34C040-4E77-4676-8F38-DFA88DE8ED26}"/>
    <cellStyle name="Note 2 3 2 9" xfId="4907" xr:uid="{00000000-0005-0000-0000-000005210000}"/>
    <cellStyle name="Note 2 3 2 9 2" xfId="14233" xr:uid="{EB5AFAF7-1F4D-475A-B9B9-0675A6301710}"/>
    <cellStyle name="Note 2 3 3" xfId="1010" xr:uid="{00000000-0005-0000-0000-000006210000}"/>
    <cellStyle name="Note 2 3 3 2" xfId="3242" xr:uid="{00000000-0005-0000-0000-000007210000}"/>
    <cellStyle name="Note 2 3 3 2 2" xfId="7464" xr:uid="{00000000-0005-0000-0000-000008210000}"/>
    <cellStyle name="Note 2 3 3 2 2 2" xfId="16790" xr:uid="{743314B2-523D-4910-BD80-DB9392629E33}"/>
    <cellStyle name="Note 2 3 3 2 3" xfId="12573" xr:uid="{CBD0B82C-B236-41C0-B5E8-2934FBC310E9}"/>
    <cellStyle name="Note 2 3 3 3" xfId="5319" xr:uid="{00000000-0005-0000-0000-000009210000}"/>
    <cellStyle name="Note 2 3 3 3 2" xfId="14645" xr:uid="{4247E2B5-BA71-40D0-8F97-620ECB53E1A2}"/>
    <cellStyle name="Note 2 3 3 4" xfId="9319" xr:uid="{06E4A3C6-5CAA-4424-B4C3-41162F21AE7D}"/>
    <cellStyle name="Note 2 3 3 5" xfId="10428" xr:uid="{3047F809-09BC-4BDF-94CE-596F08A9FC88}"/>
    <cellStyle name="Note 2 3 4" xfId="1425" xr:uid="{00000000-0005-0000-0000-00000A210000}"/>
    <cellStyle name="Note 2 3 4 2" xfId="3655" xr:uid="{00000000-0005-0000-0000-00000B210000}"/>
    <cellStyle name="Note 2 3 4 2 2" xfId="7877" xr:uid="{00000000-0005-0000-0000-00000C210000}"/>
    <cellStyle name="Note 2 3 4 2 2 2" xfId="17203" xr:uid="{A23882C5-3A6E-4FBC-9623-9AE5765D9C23}"/>
    <cellStyle name="Note 2 3 4 2 3" xfId="12986" xr:uid="{A122CB3C-3228-444E-A6F4-79F3F3155EB8}"/>
    <cellStyle name="Note 2 3 4 3" xfId="5732" xr:uid="{00000000-0005-0000-0000-00000D210000}"/>
    <cellStyle name="Note 2 3 4 3 2" xfId="15058" xr:uid="{76C3037E-30D8-4489-A3A4-79B2FBCDF1FA}"/>
    <cellStyle name="Note 2 3 4 4" xfId="10841" xr:uid="{78A157EC-2886-4B04-BBB7-5DA65CBFBB5A}"/>
    <cellStyle name="Note 2 3 5" xfId="1839" xr:uid="{00000000-0005-0000-0000-00000E210000}"/>
    <cellStyle name="Note 2 3 5 2" xfId="4068" xr:uid="{00000000-0005-0000-0000-00000F210000}"/>
    <cellStyle name="Note 2 3 5 2 2" xfId="8290" xr:uid="{00000000-0005-0000-0000-000010210000}"/>
    <cellStyle name="Note 2 3 5 2 2 2" xfId="17616" xr:uid="{46F25DCF-CA83-4506-81FB-4EB302171554}"/>
    <cellStyle name="Note 2 3 5 2 3" xfId="13399" xr:uid="{F9315C16-ED1E-493B-B0BA-01F078F21A3D}"/>
    <cellStyle name="Note 2 3 5 3" xfId="6145" xr:uid="{00000000-0005-0000-0000-000011210000}"/>
    <cellStyle name="Note 2 3 5 3 2" xfId="15471" xr:uid="{9DEECCDD-9042-48E4-882F-8C7BA6BBB364}"/>
    <cellStyle name="Note 2 3 5 4" xfId="11254" xr:uid="{6D99F9F1-3BB1-4240-A658-8D6C08B327D8}"/>
    <cellStyle name="Note 2 3 6" xfId="2252" xr:uid="{00000000-0005-0000-0000-000012210000}"/>
    <cellStyle name="Note 2 3 6 2" xfId="4481" xr:uid="{00000000-0005-0000-0000-000013210000}"/>
    <cellStyle name="Note 2 3 6 2 2" xfId="8703" xr:uid="{00000000-0005-0000-0000-000014210000}"/>
    <cellStyle name="Note 2 3 6 2 2 2" xfId="18029" xr:uid="{19D6EF61-6B14-40D7-ABD1-9D66BFAFCF6A}"/>
    <cellStyle name="Note 2 3 6 2 3" xfId="13812" xr:uid="{BDA790C4-FFAA-47F0-B482-2C5009E85D54}"/>
    <cellStyle name="Note 2 3 6 3" xfId="6558" xr:uid="{00000000-0005-0000-0000-000015210000}"/>
    <cellStyle name="Note 2 3 6 3 2" xfId="15884" xr:uid="{0E151756-D972-40BF-8680-0A607B4D404C}"/>
    <cellStyle name="Note 2 3 6 4" xfId="11667" xr:uid="{17CB823F-0A63-49A7-9612-B59A811452AE}"/>
    <cellStyle name="Note 2 3 7" xfId="2688" xr:uid="{00000000-0005-0000-0000-000016210000}"/>
    <cellStyle name="Note 2 3 7 2" xfId="6971" xr:uid="{00000000-0005-0000-0000-000017210000}"/>
    <cellStyle name="Note 2 3 7 2 2" xfId="16297" xr:uid="{5BE97361-D229-4959-84D2-1C09691242E3}"/>
    <cellStyle name="Note 2 3 7 3" xfId="12080" xr:uid="{79B366A8-965A-478B-862C-5E5D08E01EEC}"/>
    <cellStyle name="Note 2 3 8" xfId="2747" xr:uid="{00000000-0005-0000-0000-000018210000}"/>
    <cellStyle name="Note 2 3 9" xfId="2828" xr:uid="{00000000-0005-0000-0000-000019210000}"/>
    <cellStyle name="Note 2 3 9 2" xfId="7051" xr:uid="{00000000-0005-0000-0000-00001A210000}"/>
    <cellStyle name="Note 2 3 9 2 2" xfId="16377" xr:uid="{4801AFE8-2132-495E-86B4-D0E96519C5C5}"/>
    <cellStyle name="Note 2 3 9 3" xfId="12160" xr:uid="{3F955671-ADD7-4D1C-8DBF-F8C7A4E2C899}"/>
    <cellStyle name="Note 2 4" xfId="551" xr:uid="{00000000-0005-0000-0000-00001B210000}"/>
    <cellStyle name="Note 2 4 10" xfId="8998" xr:uid="{AC87C288-14A9-4FB3-A26C-1706964E6651}"/>
    <cellStyle name="Note 2 4 11" xfId="10017" xr:uid="{661B4421-AECA-4E4B-A2A6-8693E80BCD10}"/>
    <cellStyle name="Note 2 4 2" xfId="1012" xr:uid="{00000000-0005-0000-0000-00001C210000}"/>
    <cellStyle name="Note 2 4 2 2" xfId="3244" xr:uid="{00000000-0005-0000-0000-00001D210000}"/>
    <cellStyle name="Note 2 4 2 2 2" xfId="7466" xr:uid="{00000000-0005-0000-0000-00001E210000}"/>
    <cellStyle name="Note 2 4 2 2 2 2" xfId="16792" xr:uid="{2844DADD-80B3-4F72-8885-229D9175322B}"/>
    <cellStyle name="Note 2 4 2 2 3" xfId="12575" xr:uid="{98DB7550-7BBB-45A5-9348-DD55A204C038}"/>
    <cellStyle name="Note 2 4 2 3" xfId="5321" xr:uid="{00000000-0005-0000-0000-00001F210000}"/>
    <cellStyle name="Note 2 4 2 3 2" xfId="14647" xr:uid="{8BB828B2-D008-47AD-85D4-E754B3AA1334}"/>
    <cellStyle name="Note 2 4 2 4" xfId="9423" xr:uid="{43B93802-BE55-43D9-BEBC-4095E3C1FF74}"/>
    <cellStyle name="Note 2 4 2 5" xfId="10430" xr:uid="{DCB6620D-B270-4204-91B7-18E300B25AE6}"/>
    <cellStyle name="Note 2 4 3" xfId="1427" xr:uid="{00000000-0005-0000-0000-000020210000}"/>
    <cellStyle name="Note 2 4 3 2" xfId="3657" xr:uid="{00000000-0005-0000-0000-000021210000}"/>
    <cellStyle name="Note 2 4 3 2 2" xfId="7879" xr:uid="{00000000-0005-0000-0000-000022210000}"/>
    <cellStyle name="Note 2 4 3 2 2 2" xfId="17205" xr:uid="{B1C52162-12C5-46E1-A131-4E1C61507CF7}"/>
    <cellStyle name="Note 2 4 3 2 3" xfId="12988" xr:uid="{00437360-E394-4388-B093-B231722E37E3}"/>
    <cellStyle name="Note 2 4 3 3" xfId="5734" xr:uid="{00000000-0005-0000-0000-000023210000}"/>
    <cellStyle name="Note 2 4 3 3 2" xfId="15060" xr:uid="{5868432D-1093-4ABE-8B63-3854B36B6632}"/>
    <cellStyle name="Note 2 4 3 4" xfId="10843" xr:uid="{08964545-4B12-44D4-927C-DE7D79D01B9E}"/>
    <cellStyle name="Note 2 4 4" xfId="1841" xr:uid="{00000000-0005-0000-0000-000024210000}"/>
    <cellStyle name="Note 2 4 4 2" xfId="4070" xr:uid="{00000000-0005-0000-0000-000025210000}"/>
    <cellStyle name="Note 2 4 4 2 2" xfId="8292" xr:uid="{00000000-0005-0000-0000-000026210000}"/>
    <cellStyle name="Note 2 4 4 2 2 2" xfId="17618" xr:uid="{CDBC7CA2-CE90-4529-BC84-12923ACB343C}"/>
    <cellStyle name="Note 2 4 4 2 3" xfId="13401" xr:uid="{F9F94754-E372-421C-BECB-686C2CC5E9F7}"/>
    <cellStyle name="Note 2 4 4 3" xfId="6147" xr:uid="{00000000-0005-0000-0000-000027210000}"/>
    <cellStyle name="Note 2 4 4 3 2" xfId="15473" xr:uid="{1B9C3958-C3E6-4C8E-9499-3B7AA98F0B96}"/>
    <cellStyle name="Note 2 4 4 4" xfId="11256" xr:uid="{A20B6AE4-E7E2-4FE1-841A-EF4860A1B41F}"/>
    <cellStyle name="Note 2 4 5" xfId="2254" xr:uid="{00000000-0005-0000-0000-000028210000}"/>
    <cellStyle name="Note 2 4 5 2" xfId="4483" xr:uid="{00000000-0005-0000-0000-000029210000}"/>
    <cellStyle name="Note 2 4 5 2 2" xfId="8705" xr:uid="{00000000-0005-0000-0000-00002A210000}"/>
    <cellStyle name="Note 2 4 5 2 2 2" xfId="18031" xr:uid="{7A9F9ED4-20D2-4543-B9BB-B8C8D4241099}"/>
    <cellStyle name="Note 2 4 5 2 3" xfId="13814" xr:uid="{78E9EE57-BAFD-4F3A-B4B9-7EDB71B3B51A}"/>
    <cellStyle name="Note 2 4 5 3" xfId="6560" xr:uid="{00000000-0005-0000-0000-00002B210000}"/>
    <cellStyle name="Note 2 4 5 3 2" xfId="15886" xr:uid="{0D204E02-40A3-45D1-A1C7-37F28745B151}"/>
    <cellStyle name="Note 2 4 5 4" xfId="11669" xr:uid="{0C77545D-274F-4461-A023-A05469AF8E62}"/>
    <cellStyle name="Note 2 4 6" xfId="2690" xr:uid="{00000000-0005-0000-0000-00002C210000}"/>
    <cellStyle name="Note 2 4 6 2" xfId="6973" xr:uid="{00000000-0005-0000-0000-00002D210000}"/>
    <cellStyle name="Note 2 4 6 2 2" xfId="16299" xr:uid="{16085D71-443B-4567-AFBD-1A71CE54A77D}"/>
    <cellStyle name="Note 2 4 6 3" xfId="12082" xr:uid="{C6F2DC00-12A1-4BE9-8F64-D8D13971BABA}"/>
    <cellStyle name="Note 2 4 7" xfId="2749" xr:uid="{00000000-0005-0000-0000-00002E210000}"/>
    <cellStyle name="Note 2 4 8" xfId="2830" xr:uid="{00000000-0005-0000-0000-00002F210000}"/>
    <cellStyle name="Note 2 4 8 2" xfId="7053" xr:uid="{00000000-0005-0000-0000-000030210000}"/>
    <cellStyle name="Note 2 4 8 2 2" xfId="16379" xr:uid="{1306D5EF-DC1A-4542-B232-AE0D647B38E4}"/>
    <cellStyle name="Note 2 4 8 3" xfId="12162" xr:uid="{44F5D288-18E2-4EEB-84E7-D2312723AEFE}"/>
    <cellStyle name="Note 2 4 9" xfId="4908" xr:uid="{00000000-0005-0000-0000-000031210000}"/>
    <cellStyle name="Note 2 4 9 2" xfId="14234" xr:uid="{C532E0BC-EBF3-49B5-A92F-FD2839AD94D3}"/>
    <cellStyle name="Note 2 5" xfId="552" xr:uid="{00000000-0005-0000-0000-000032210000}"/>
    <cellStyle name="Note 2 5 10" xfId="9215" xr:uid="{69947D86-0683-476F-9E74-96CA08091560}"/>
    <cellStyle name="Note 2 5 11" xfId="10018" xr:uid="{5643D621-C392-4F59-827C-C69C4B5C7858}"/>
    <cellStyle name="Note 2 5 2" xfId="1013" xr:uid="{00000000-0005-0000-0000-000033210000}"/>
    <cellStyle name="Note 2 5 2 2" xfId="3245" xr:uid="{00000000-0005-0000-0000-000034210000}"/>
    <cellStyle name="Note 2 5 2 2 2" xfId="7467" xr:uid="{00000000-0005-0000-0000-000035210000}"/>
    <cellStyle name="Note 2 5 2 2 2 2" xfId="16793" xr:uid="{C6DB372C-957E-4F9A-BE91-6C576FD2191F}"/>
    <cellStyle name="Note 2 5 2 2 3" xfId="12576" xr:uid="{9CEB485D-3677-4F5D-94CA-9970178B6F5D}"/>
    <cellStyle name="Note 2 5 2 3" xfId="5322" xr:uid="{00000000-0005-0000-0000-000036210000}"/>
    <cellStyle name="Note 2 5 2 3 2" xfId="14648" xr:uid="{DB0C93D9-3BCE-428D-9E31-3BFEBC28131C}"/>
    <cellStyle name="Note 2 5 2 4" xfId="9610" xr:uid="{26530D10-1DF8-4FA4-8FC9-4C945AA92A94}"/>
    <cellStyle name="Note 2 5 2 5" xfId="10431" xr:uid="{627E63F3-C70A-4132-B858-8D29E9743A34}"/>
    <cellStyle name="Note 2 5 3" xfId="1428" xr:uid="{00000000-0005-0000-0000-000037210000}"/>
    <cellStyle name="Note 2 5 3 2" xfId="3658" xr:uid="{00000000-0005-0000-0000-000038210000}"/>
    <cellStyle name="Note 2 5 3 2 2" xfId="7880" xr:uid="{00000000-0005-0000-0000-000039210000}"/>
    <cellStyle name="Note 2 5 3 2 2 2" xfId="17206" xr:uid="{B952A992-CE3D-4131-9ADB-17BD76B7005F}"/>
    <cellStyle name="Note 2 5 3 2 3" xfId="12989" xr:uid="{3420A675-A262-43A1-A295-37C7116AAE17}"/>
    <cellStyle name="Note 2 5 3 3" xfId="5735" xr:uid="{00000000-0005-0000-0000-00003A210000}"/>
    <cellStyle name="Note 2 5 3 3 2" xfId="15061" xr:uid="{FC551AD7-A613-4EAD-A3BD-4C8B3D0847E1}"/>
    <cellStyle name="Note 2 5 3 4" xfId="10844" xr:uid="{B4386F62-ED54-4186-B1FA-558DBA5F9208}"/>
    <cellStyle name="Note 2 5 4" xfId="1842" xr:uid="{00000000-0005-0000-0000-00003B210000}"/>
    <cellStyle name="Note 2 5 4 2" xfId="4071" xr:uid="{00000000-0005-0000-0000-00003C210000}"/>
    <cellStyle name="Note 2 5 4 2 2" xfId="8293" xr:uid="{00000000-0005-0000-0000-00003D210000}"/>
    <cellStyle name="Note 2 5 4 2 2 2" xfId="17619" xr:uid="{AA8554E4-07EC-48C8-949D-1E8D2F12CEC2}"/>
    <cellStyle name="Note 2 5 4 2 3" xfId="13402" xr:uid="{A5C4CA6B-D1DA-4E62-9F4E-DBC4827257D0}"/>
    <cellStyle name="Note 2 5 4 3" xfId="6148" xr:uid="{00000000-0005-0000-0000-00003E210000}"/>
    <cellStyle name="Note 2 5 4 3 2" xfId="15474" xr:uid="{8244FA70-A0CD-48C3-8213-FEBA65340E3F}"/>
    <cellStyle name="Note 2 5 4 4" xfId="11257" xr:uid="{7CC842CD-D9FF-4C25-B8D7-10615448B6C0}"/>
    <cellStyle name="Note 2 5 5" xfId="2255" xr:uid="{00000000-0005-0000-0000-00003F210000}"/>
    <cellStyle name="Note 2 5 5 2" xfId="4484" xr:uid="{00000000-0005-0000-0000-000040210000}"/>
    <cellStyle name="Note 2 5 5 2 2" xfId="8706" xr:uid="{00000000-0005-0000-0000-000041210000}"/>
    <cellStyle name="Note 2 5 5 2 2 2" xfId="18032" xr:uid="{E907B5AC-4131-487E-A61E-D7FB29BEBF8E}"/>
    <cellStyle name="Note 2 5 5 2 3" xfId="13815" xr:uid="{12FB6C98-F2F8-40B9-87F9-AB7438AB2E81}"/>
    <cellStyle name="Note 2 5 5 3" xfId="6561" xr:uid="{00000000-0005-0000-0000-000042210000}"/>
    <cellStyle name="Note 2 5 5 3 2" xfId="15887" xr:uid="{98AB59AC-4F93-4EE8-903A-1E825865655B}"/>
    <cellStyle name="Note 2 5 5 4" xfId="11670" xr:uid="{88724D80-00F7-4C29-B777-4953616E0881}"/>
    <cellStyle name="Note 2 5 6" xfId="2691" xr:uid="{00000000-0005-0000-0000-000043210000}"/>
    <cellStyle name="Note 2 5 6 2" xfId="6974" xr:uid="{00000000-0005-0000-0000-000044210000}"/>
    <cellStyle name="Note 2 5 6 2 2" xfId="16300" xr:uid="{04E67C91-7BA9-4DC0-8F90-4810824EF346}"/>
    <cellStyle name="Note 2 5 6 3" xfId="12083" xr:uid="{7703AA6F-52D8-4F48-AFB6-2A591C6B04C3}"/>
    <cellStyle name="Note 2 5 7" xfId="2750" xr:uid="{00000000-0005-0000-0000-000045210000}"/>
    <cellStyle name="Note 2 5 8" xfId="2831" xr:uid="{00000000-0005-0000-0000-000046210000}"/>
    <cellStyle name="Note 2 5 8 2" xfId="7054" xr:uid="{00000000-0005-0000-0000-000047210000}"/>
    <cellStyle name="Note 2 5 8 2 2" xfId="16380" xr:uid="{29D6E247-A2CA-4B25-99C1-8168CF7299AA}"/>
    <cellStyle name="Note 2 5 8 3" xfId="12163" xr:uid="{39024B6F-FC0E-4185-8B40-E970FA7603FD}"/>
    <cellStyle name="Note 2 5 9" xfId="4909" xr:uid="{00000000-0005-0000-0000-000048210000}"/>
    <cellStyle name="Note 2 5 9 2" xfId="14235" xr:uid="{6C1EE2FB-5F68-4E64-BB7B-903CD05E476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CDF33E0D-6A5E-4CA5-9E50-859F8A388CC7}"/>
    <cellStyle name="Note 3 2 10 3" xfId="12164" xr:uid="{F6753455-B257-4174-9F4F-00C05E01BD77}"/>
    <cellStyle name="Note 3 2 11" xfId="4910" xr:uid="{00000000-0005-0000-0000-00004D210000}"/>
    <cellStyle name="Note 3 2 11 2" xfId="14236" xr:uid="{49392CB4-8390-499E-AF6A-FC8EE17E3B62}"/>
    <cellStyle name="Note 3 2 12" xfId="8842" xr:uid="{646587AC-B7A9-43E2-AC1E-1B77745805D8}"/>
    <cellStyle name="Note 3 2 13" xfId="10019" xr:uid="{8C64DDD9-4835-4C1D-8008-C149F3465A57}"/>
    <cellStyle name="Note 3 2 2" xfId="555" xr:uid="{00000000-0005-0000-0000-00004E210000}"/>
    <cellStyle name="Note 3 2 2 10" xfId="4911" xr:uid="{00000000-0005-0000-0000-00004F210000}"/>
    <cellStyle name="Note 3 2 2 10 2" xfId="14237" xr:uid="{52046AAE-CDFE-4609-B063-217971CB4463}"/>
    <cellStyle name="Note 3 2 2 11" xfId="8945" xr:uid="{D320AF38-4F47-4266-9CB9-3BD7E15BFDAE}"/>
    <cellStyle name="Note 3 2 2 12" xfId="10020" xr:uid="{D0101E49-5BD2-4133-9770-789CEC885C3A}"/>
    <cellStyle name="Note 3 2 2 2" xfId="556" xr:uid="{00000000-0005-0000-0000-000050210000}"/>
    <cellStyle name="Note 3 2 2 2 10" xfId="9152" xr:uid="{24874F5B-4700-44ED-9556-84C4E89A274D}"/>
    <cellStyle name="Note 3 2 2 2 11" xfId="10021" xr:uid="{9F744535-4982-46F3-A78B-5779E1ECBFA3}"/>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7DF962BC-4C1E-4A6A-BAFA-12817C15E91B}"/>
    <cellStyle name="Note 3 2 2 2 2 2 3" xfId="12579" xr:uid="{97BAD015-D2DA-41EB-9A09-AC6FC5773456}"/>
    <cellStyle name="Note 3 2 2 2 2 3" xfId="5325" xr:uid="{00000000-0005-0000-0000-000054210000}"/>
    <cellStyle name="Note 3 2 2 2 2 3 2" xfId="14651" xr:uid="{33CB6EA2-D131-44C0-B266-60384DBD4709}"/>
    <cellStyle name="Note 3 2 2 2 2 4" xfId="9577" xr:uid="{7C0C89D7-CA14-4942-89B2-D584AC810EDC}"/>
    <cellStyle name="Note 3 2 2 2 2 5" xfId="10434" xr:uid="{74A43F95-A634-4D41-B67B-7EF8A3533AC3}"/>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3A9F03FE-25F9-4A55-85D9-017935B3A4D8}"/>
    <cellStyle name="Note 3 2 2 2 3 2 3" xfId="12992" xr:uid="{66BBE388-9A17-463B-B89E-5BE2B5281884}"/>
    <cellStyle name="Note 3 2 2 2 3 3" xfId="5738" xr:uid="{00000000-0005-0000-0000-000058210000}"/>
    <cellStyle name="Note 3 2 2 2 3 3 2" xfId="15064" xr:uid="{21A2167E-CFF8-4947-B7CC-E5FE5C237EB1}"/>
    <cellStyle name="Note 3 2 2 2 3 4" xfId="10847" xr:uid="{91527ED4-F405-4982-BE85-EA48508A002E}"/>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87284CB8-704C-4A1F-8D34-B32C0897424F}"/>
    <cellStyle name="Note 3 2 2 2 4 2 3" xfId="13405" xr:uid="{775A830E-845D-40C2-9E2D-D3188ACDF2B3}"/>
    <cellStyle name="Note 3 2 2 2 4 3" xfId="6151" xr:uid="{00000000-0005-0000-0000-00005C210000}"/>
    <cellStyle name="Note 3 2 2 2 4 3 2" xfId="15477" xr:uid="{CC747DCD-D4DF-4F89-BD8D-23E4F5E46885}"/>
    <cellStyle name="Note 3 2 2 2 4 4" xfId="11260" xr:uid="{EFBA62F0-9121-4A4E-A3F1-4AACC7BBC547}"/>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839C26C9-AF73-44CA-86C5-F2A2D21AEFED}"/>
    <cellStyle name="Note 3 2 2 2 5 2 3" xfId="13818" xr:uid="{7C7DCF99-C0C8-46ED-B3EA-FFB243A55ADE}"/>
    <cellStyle name="Note 3 2 2 2 5 3" xfId="6564" xr:uid="{00000000-0005-0000-0000-000060210000}"/>
    <cellStyle name="Note 3 2 2 2 5 3 2" xfId="15890" xr:uid="{4C9965CE-139E-41DF-96A9-6DF5C2283938}"/>
    <cellStyle name="Note 3 2 2 2 5 4" xfId="11673" xr:uid="{4E5A71B1-E504-48A0-969A-92986811C48D}"/>
    <cellStyle name="Note 3 2 2 2 6" xfId="2694" xr:uid="{00000000-0005-0000-0000-000061210000}"/>
    <cellStyle name="Note 3 2 2 2 6 2" xfId="6977" xr:uid="{00000000-0005-0000-0000-000062210000}"/>
    <cellStyle name="Note 3 2 2 2 6 2 2" xfId="16303" xr:uid="{3A9D6378-1A4D-44E5-A4B8-D5AE39DAC6FC}"/>
    <cellStyle name="Note 3 2 2 2 6 3" xfId="12086" xr:uid="{C62B5E08-042F-40AF-A6B8-2F9C440166DA}"/>
    <cellStyle name="Note 3 2 2 2 7" xfId="2753" xr:uid="{00000000-0005-0000-0000-000063210000}"/>
    <cellStyle name="Note 3 2 2 2 8" xfId="2834" xr:uid="{00000000-0005-0000-0000-000064210000}"/>
    <cellStyle name="Note 3 2 2 2 8 2" xfId="7057" xr:uid="{00000000-0005-0000-0000-000065210000}"/>
    <cellStyle name="Note 3 2 2 2 8 2 2" xfId="16383" xr:uid="{D7C9D187-7880-4B1D-AE9A-2FCB66F68911}"/>
    <cellStyle name="Note 3 2 2 2 8 3" xfId="12166" xr:uid="{A5BF6EBA-BFB3-4FC0-8D96-0479363605C9}"/>
    <cellStyle name="Note 3 2 2 2 9" xfId="4912" xr:uid="{00000000-0005-0000-0000-000066210000}"/>
    <cellStyle name="Note 3 2 2 2 9 2" xfId="14238" xr:uid="{9CB6B0E4-7CDE-4CE7-A79C-F839D436F3A1}"/>
    <cellStyle name="Note 3 2 2 3" xfId="1015" xr:uid="{00000000-0005-0000-0000-000067210000}"/>
    <cellStyle name="Note 3 2 2 3 2" xfId="3247" xr:uid="{00000000-0005-0000-0000-000068210000}"/>
    <cellStyle name="Note 3 2 2 3 2 2" xfId="7469" xr:uid="{00000000-0005-0000-0000-000069210000}"/>
    <cellStyle name="Note 3 2 2 3 2 2 2" xfId="16795" xr:uid="{C1F7A26A-B8F2-4DBC-991F-1ACE335EB718}"/>
    <cellStyle name="Note 3 2 2 3 2 3" xfId="12578" xr:uid="{54DD5B49-7567-4F11-B383-3054F973A2DF}"/>
    <cellStyle name="Note 3 2 2 3 3" xfId="5324" xr:uid="{00000000-0005-0000-0000-00006A210000}"/>
    <cellStyle name="Note 3 2 2 3 3 2" xfId="14650" xr:uid="{52CC877B-5AC6-4B8A-9811-9C32B381DE9B}"/>
    <cellStyle name="Note 3 2 2 3 4" xfId="9370" xr:uid="{7A803908-679B-4EF0-9BD4-89724B1FB321}"/>
    <cellStyle name="Note 3 2 2 3 5" xfId="10433" xr:uid="{10420A24-648B-40D9-B2F5-8978FCD406F4}"/>
    <cellStyle name="Note 3 2 2 4" xfId="1430" xr:uid="{00000000-0005-0000-0000-00006B210000}"/>
    <cellStyle name="Note 3 2 2 4 2" xfId="3660" xr:uid="{00000000-0005-0000-0000-00006C210000}"/>
    <cellStyle name="Note 3 2 2 4 2 2" xfId="7882" xr:uid="{00000000-0005-0000-0000-00006D210000}"/>
    <cellStyle name="Note 3 2 2 4 2 2 2" xfId="17208" xr:uid="{9781D83B-9124-406F-9BB1-0C56F27B6AC8}"/>
    <cellStyle name="Note 3 2 2 4 2 3" xfId="12991" xr:uid="{459AA894-5316-4C5F-A2C9-8B2F71F29EFE}"/>
    <cellStyle name="Note 3 2 2 4 3" xfId="5737" xr:uid="{00000000-0005-0000-0000-00006E210000}"/>
    <cellStyle name="Note 3 2 2 4 3 2" xfId="15063" xr:uid="{326ACF72-7462-4A95-868E-0E56198B0764}"/>
    <cellStyle name="Note 3 2 2 4 4" xfId="10846" xr:uid="{2BE3F0A1-8B7A-42B1-8B61-FFA63BC99C5C}"/>
    <cellStyle name="Note 3 2 2 5" xfId="1844" xr:uid="{00000000-0005-0000-0000-00006F210000}"/>
    <cellStyle name="Note 3 2 2 5 2" xfId="4073" xr:uid="{00000000-0005-0000-0000-000070210000}"/>
    <cellStyle name="Note 3 2 2 5 2 2" xfId="8295" xr:uid="{00000000-0005-0000-0000-000071210000}"/>
    <cellStyle name="Note 3 2 2 5 2 2 2" xfId="17621" xr:uid="{993BEDD6-2B05-4872-B59D-3E5E5CCA6BDF}"/>
    <cellStyle name="Note 3 2 2 5 2 3" xfId="13404" xr:uid="{960045D5-3305-4461-9AB2-963A3EFE5D21}"/>
    <cellStyle name="Note 3 2 2 5 3" xfId="6150" xr:uid="{00000000-0005-0000-0000-000072210000}"/>
    <cellStyle name="Note 3 2 2 5 3 2" xfId="15476" xr:uid="{1B7975D8-AADC-46F5-82BA-A9BD42F74D46}"/>
    <cellStyle name="Note 3 2 2 5 4" xfId="11259" xr:uid="{DDEC4506-4D7D-48E0-876A-4D5DE89311F7}"/>
    <cellStyle name="Note 3 2 2 6" xfId="2257" xr:uid="{00000000-0005-0000-0000-000073210000}"/>
    <cellStyle name="Note 3 2 2 6 2" xfId="4486" xr:uid="{00000000-0005-0000-0000-000074210000}"/>
    <cellStyle name="Note 3 2 2 6 2 2" xfId="8708" xr:uid="{00000000-0005-0000-0000-000075210000}"/>
    <cellStyle name="Note 3 2 2 6 2 2 2" xfId="18034" xr:uid="{C517A18F-74C0-4D3A-A8E7-068AFDCF77D8}"/>
    <cellStyle name="Note 3 2 2 6 2 3" xfId="13817" xr:uid="{CF0BFB96-1426-43EB-9F6B-64AE97DE0962}"/>
    <cellStyle name="Note 3 2 2 6 3" xfId="6563" xr:uid="{00000000-0005-0000-0000-000076210000}"/>
    <cellStyle name="Note 3 2 2 6 3 2" xfId="15889" xr:uid="{70CECCC6-F66A-4183-8D51-DFFA84B4C580}"/>
    <cellStyle name="Note 3 2 2 6 4" xfId="11672" xr:uid="{1F92D008-D17D-4978-968C-DC2839470E50}"/>
    <cellStyle name="Note 3 2 2 7" xfId="2693" xr:uid="{00000000-0005-0000-0000-000077210000}"/>
    <cellStyle name="Note 3 2 2 7 2" xfId="6976" xr:uid="{00000000-0005-0000-0000-000078210000}"/>
    <cellStyle name="Note 3 2 2 7 2 2" xfId="16302" xr:uid="{14D4EB15-E74F-4961-8730-3AB5680B0550}"/>
    <cellStyle name="Note 3 2 2 7 3" xfId="12085" xr:uid="{C67D6059-C87A-4904-A7A0-605345238CA4}"/>
    <cellStyle name="Note 3 2 2 8" xfId="2752" xr:uid="{00000000-0005-0000-0000-000079210000}"/>
    <cellStyle name="Note 3 2 2 9" xfId="2833" xr:uid="{00000000-0005-0000-0000-00007A210000}"/>
    <cellStyle name="Note 3 2 2 9 2" xfId="7056" xr:uid="{00000000-0005-0000-0000-00007B210000}"/>
    <cellStyle name="Note 3 2 2 9 2 2" xfId="16382" xr:uid="{5A0C42AF-D828-47BC-B45D-F23AAC8F968F}"/>
    <cellStyle name="Note 3 2 2 9 3" xfId="12165" xr:uid="{9BA59D1D-B037-42BC-80CD-82E0BCEFBDF7}"/>
    <cellStyle name="Note 3 2 3" xfId="557" xr:uid="{00000000-0005-0000-0000-00007C210000}"/>
    <cellStyle name="Note 3 2 3 10" xfId="9049" xr:uid="{98DA21AE-8EED-4AF2-A5D5-94394E9C9EFE}"/>
    <cellStyle name="Note 3 2 3 11" xfId="10022" xr:uid="{19B18CF1-F0D4-40D0-814F-794AB72F9DB1}"/>
    <cellStyle name="Note 3 2 3 2" xfId="1017" xr:uid="{00000000-0005-0000-0000-00007D210000}"/>
    <cellStyle name="Note 3 2 3 2 2" xfId="3249" xr:uid="{00000000-0005-0000-0000-00007E210000}"/>
    <cellStyle name="Note 3 2 3 2 2 2" xfId="7471" xr:uid="{00000000-0005-0000-0000-00007F210000}"/>
    <cellStyle name="Note 3 2 3 2 2 2 2" xfId="16797" xr:uid="{6217E59A-6F99-4512-90CC-86B0068FF314}"/>
    <cellStyle name="Note 3 2 3 2 2 3" xfId="12580" xr:uid="{2EAEB865-B06E-4054-B7FF-9EDFF0AE5497}"/>
    <cellStyle name="Note 3 2 3 2 3" xfId="5326" xr:uid="{00000000-0005-0000-0000-000080210000}"/>
    <cellStyle name="Note 3 2 3 2 3 2" xfId="14652" xr:uid="{99DA807F-BC48-4737-A889-974FCC69505C}"/>
    <cellStyle name="Note 3 2 3 2 4" xfId="9474" xr:uid="{8827394E-7DCF-4E58-BF45-94E8587F7D91}"/>
    <cellStyle name="Note 3 2 3 2 5" xfId="10435" xr:uid="{43D91B43-858E-4FE4-9B13-24FC0384E104}"/>
    <cellStyle name="Note 3 2 3 3" xfId="1432" xr:uid="{00000000-0005-0000-0000-000081210000}"/>
    <cellStyle name="Note 3 2 3 3 2" xfId="3662" xr:uid="{00000000-0005-0000-0000-000082210000}"/>
    <cellStyle name="Note 3 2 3 3 2 2" xfId="7884" xr:uid="{00000000-0005-0000-0000-000083210000}"/>
    <cellStyle name="Note 3 2 3 3 2 2 2" xfId="17210" xr:uid="{F5124811-96CF-4EFF-8C2D-65B2EAECDC72}"/>
    <cellStyle name="Note 3 2 3 3 2 3" xfId="12993" xr:uid="{D2AA04BF-2F83-416F-9A2C-2A5329304629}"/>
    <cellStyle name="Note 3 2 3 3 3" xfId="5739" xr:uid="{00000000-0005-0000-0000-000084210000}"/>
    <cellStyle name="Note 3 2 3 3 3 2" xfId="15065" xr:uid="{D42AAE17-461E-41C8-8D73-02DCB627268D}"/>
    <cellStyle name="Note 3 2 3 3 4" xfId="10848" xr:uid="{48A57015-7591-4F72-B273-6BE367E85EDD}"/>
    <cellStyle name="Note 3 2 3 4" xfId="1846" xr:uid="{00000000-0005-0000-0000-000085210000}"/>
    <cellStyle name="Note 3 2 3 4 2" xfId="4075" xr:uid="{00000000-0005-0000-0000-000086210000}"/>
    <cellStyle name="Note 3 2 3 4 2 2" xfId="8297" xr:uid="{00000000-0005-0000-0000-000087210000}"/>
    <cellStyle name="Note 3 2 3 4 2 2 2" xfId="17623" xr:uid="{16CF65CB-ABFF-41AA-B80C-A8C2651D2900}"/>
    <cellStyle name="Note 3 2 3 4 2 3" xfId="13406" xr:uid="{24752BCC-1A69-46AA-A8F4-EF5C3DB68444}"/>
    <cellStyle name="Note 3 2 3 4 3" xfId="6152" xr:uid="{00000000-0005-0000-0000-000088210000}"/>
    <cellStyle name="Note 3 2 3 4 3 2" xfId="15478" xr:uid="{E856B617-6B7D-4E7B-8661-BB599DF8E96E}"/>
    <cellStyle name="Note 3 2 3 4 4" xfId="11261" xr:uid="{796C8A55-32EF-4C81-90AF-D101B7DEA3A7}"/>
    <cellStyle name="Note 3 2 3 5" xfId="2259" xr:uid="{00000000-0005-0000-0000-000089210000}"/>
    <cellStyle name="Note 3 2 3 5 2" xfId="4488" xr:uid="{00000000-0005-0000-0000-00008A210000}"/>
    <cellStyle name="Note 3 2 3 5 2 2" xfId="8710" xr:uid="{00000000-0005-0000-0000-00008B210000}"/>
    <cellStyle name="Note 3 2 3 5 2 2 2" xfId="18036" xr:uid="{88220DD8-7587-4DE3-8410-1ED582C3C892}"/>
    <cellStyle name="Note 3 2 3 5 2 3" xfId="13819" xr:uid="{6446D91F-1158-4F3F-8C11-E42F4A637B60}"/>
    <cellStyle name="Note 3 2 3 5 3" xfId="6565" xr:uid="{00000000-0005-0000-0000-00008C210000}"/>
    <cellStyle name="Note 3 2 3 5 3 2" xfId="15891" xr:uid="{4AFDE680-A068-4089-A81A-27628AE6349B}"/>
    <cellStyle name="Note 3 2 3 5 4" xfId="11674" xr:uid="{FC84B694-AB6E-4986-A67A-664ABC6CB5CB}"/>
    <cellStyle name="Note 3 2 3 6" xfId="2695" xr:uid="{00000000-0005-0000-0000-00008D210000}"/>
    <cellStyle name="Note 3 2 3 6 2" xfId="6978" xr:uid="{00000000-0005-0000-0000-00008E210000}"/>
    <cellStyle name="Note 3 2 3 6 2 2" xfId="16304" xr:uid="{089E3DDA-709D-4A1B-B0FB-8931BF286DCF}"/>
    <cellStyle name="Note 3 2 3 6 3" xfId="12087" xr:uid="{C29CF115-D230-4324-95D5-C7348C065AF7}"/>
    <cellStyle name="Note 3 2 3 7" xfId="2754" xr:uid="{00000000-0005-0000-0000-00008F210000}"/>
    <cellStyle name="Note 3 2 3 8" xfId="2835" xr:uid="{00000000-0005-0000-0000-000090210000}"/>
    <cellStyle name="Note 3 2 3 8 2" xfId="7058" xr:uid="{00000000-0005-0000-0000-000091210000}"/>
    <cellStyle name="Note 3 2 3 8 2 2" xfId="16384" xr:uid="{646D81C7-B5A8-4EC8-9A39-8D9C09030F1C}"/>
    <cellStyle name="Note 3 2 3 8 3" xfId="12167" xr:uid="{919E0E4E-7476-4959-A571-640DEF8B4684}"/>
    <cellStyle name="Note 3 2 3 9" xfId="4913" xr:uid="{00000000-0005-0000-0000-000092210000}"/>
    <cellStyle name="Note 3 2 3 9 2" xfId="14239" xr:uid="{AA6357AA-6C73-42BC-8111-909F872BD081}"/>
    <cellStyle name="Note 3 2 4" xfId="1014" xr:uid="{00000000-0005-0000-0000-000093210000}"/>
    <cellStyle name="Note 3 2 4 2" xfId="3246" xr:uid="{00000000-0005-0000-0000-000094210000}"/>
    <cellStyle name="Note 3 2 4 2 2" xfId="7468" xr:uid="{00000000-0005-0000-0000-000095210000}"/>
    <cellStyle name="Note 3 2 4 2 2 2" xfId="16794" xr:uid="{355782A1-693C-44BB-8E34-BBBCFD7BE973}"/>
    <cellStyle name="Note 3 2 4 2 3" xfId="12577" xr:uid="{9304C4C9-8E4C-4A60-B1E4-B37CF8854148}"/>
    <cellStyle name="Note 3 2 4 3" xfId="5323" xr:uid="{00000000-0005-0000-0000-000096210000}"/>
    <cellStyle name="Note 3 2 4 3 2" xfId="14649" xr:uid="{C5CE4982-E0D1-44B7-9D35-764CBB53E79E}"/>
    <cellStyle name="Note 3 2 4 4" xfId="9267" xr:uid="{1291CED5-E18E-4F1A-8856-A132B18F5C81}"/>
    <cellStyle name="Note 3 2 4 5" xfId="10432" xr:uid="{311DFA3F-7327-4DD5-8971-860D20FD5C44}"/>
    <cellStyle name="Note 3 2 5" xfId="1429" xr:uid="{00000000-0005-0000-0000-000097210000}"/>
    <cellStyle name="Note 3 2 5 2" xfId="3659" xr:uid="{00000000-0005-0000-0000-000098210000}"/>
    <cellStyle name="Note 3 2 5 2 2" xfId="7881" xr:uid="{00000000-0005-0000-0000-000099210000}"/>
    <cellStyle name="Note 3 2 5 2 2 2" xfId="17207" xr:uid="{41F264F0-CF13-4CC1-88E3-4371FA73ECB7}"/>
    <cellStyle name="Note 3 2 5 2 3" xfId="12990" xr:uid="{1DA128B6-1D83-4C87-BDDB-A2B01E2D8037}"/>
    <cellStyle name="Note 3 2 5 3" xfId="5736" xr:uid="{00000000-0005-0000-0000-00009A210000}"/>
    <cellStyle name="Note 3 2 5 3 2" xfId="15062" xr:uid="{EB84FDC5-81B5-4BBA-8219-CF6BE7660211}"/>
    <cellStyle name="Note 3 2 5 4" xfId="10845" xr:uid="{941BD841-EE8E-4886-986B-90B524D8A505}"/>
    <cellStyle name="Note 3 2 6" xfId="1843" xr:uid="{00000000-0005-0000-0000-00009B210000}"/>
    <cellStyle name="Note 3 2 6 2" xfId="4072" xr:uid="{00000000-0005-0000-0000-00009C210000}"/>
    <cellStyle name="Note 3 2 6 2 2" xfId="8294" xr:uid="{00000000-0005-0000-0000-00009D210000}"/>
    <cellStyle name="Note 3 2 6 2 2 2" xfId="17620" xr:uid="{5C77926E-0C6A-41C3-A2D6-9E4065E1A94E}"/>
    <cellStyle name="Note 3 2 6 2 3" xfId="13403" xr:uid="{FBFDCCC5-40EA-459A-A7C3-13E90BC28049}"/>
    <cellStyle name="Note 3 2 6 3" xfId="6149" xr:uid="{00000000-0005-0000-0000-00009E210000}"/>
    <cellStyle name="Note 3 2 6 3 2" xfId="15475" xr:uid="{C7601F43-51B0-4B2E-9D4B-D6A51A4C0B96}"/>
    <cellStyle name="Note 3 2 6 4" xfId="11258" xr:uid="{4C16532C-9E26-4270-A8F8-2DC3261FD091}"/>
    <cellStyle name="Note 3 2 7" xfId="2256" xr:uid="{00000000-0005-0000-0000-00009F210000}"/>
    <cellStyle name="Note 3 2 7 2" xfId="4485" xr:uid="{00000000-0005-0000-0000-0000A0210000}"/>
    <cellStyle name="Note 3 2 7 2 2" xfId="8707" xr:uid="{00000000-0005-0000-0000-0000A1210000}"/>
    <cellStyle name="Note 3 2 7 2 2 2" xfId="18033" xr:uid="{73DE9EBD-9913-4618-8F5D-F5F2F3A398CD}"/>
    <cellStyle name="Note 3 2 7 2 3" xfId="13816" xr:uid="{F91534E0-6161-476F-9B82-EB8CFDF84E97}"/>
    <cellStyle name="Note 3 2 7 3" xfId="6562" xr:uid="{00000000-0005-0000-0000-0000A2210000}"/>
    <cellStyle name="Note 3 2 7 3 2" xfId="15888" xr:uid="{6FE5EE18-1BC0-4F56-9131-6AB5CE525977}"/>
    <cellStyle name="Note 3 2 7 4" xfId="11671" xr:uid="{803730AE-B16D-4A0D-97F2-1BC00A8B6C86}"/>
    <cellStyle name="Note 3 2 8" xfId="2692" xr:uid="{00000000-0005-0000-0000-0000A3210000}"/>
    <cellStyle name="Note 3 2 8 2" xfId="6975" xr:uid="{00000000-0005-0000-0000-0000A4210000}"/>
    <cellStyle name="Note 3 2 8 2 2" xfId="16301" xr:uid="{8B1481DA-0A04-441F-8DF8-250615422929}"/>
    <cellStyle name="Note 3 2 8 3" xfId="12084" xr:uid="{B4B78342-A7A2-4D0E-81AB-8D121C52C8A2}"/>
    <cellStyle name="Note 3 2 9" xfId="2751" xr:uid="{00000000-0005-0000-0000-0000A5210000}"/>
    <cellStyle name="Note 3 3" xfId="558" xr:uid="{00000000-0005-0000-0000-0000A6210000}"/>
    <cellStyle name="Note 3 3 10" xfId="4914" xr:uid="{00000000-0005-0000-0000-0000A7210000}"/>
    <cellStyle name="Note 3 3 10 2" xfId="14240" xr:uid="{8288BB2E-C646-4097-8196-6BAF1EE19444}"/>
    <cellStyle name="Note 3 3 11" xfId="8892" xr:uid="{8511F94A-7472-4DD0-A9AB-40754FEE5F47}"/>
    <cellStyle name="Note 3 3 12" xfId="10023" xr:uid="{F707246F-95D6-41A5-B685-C729978EB2AB}"/>
    <cellStyle name="Note 3 3 2" xfId="559" xr:uid="{00000000-0005-0000-0000-0000A8210000}"/>
    <cellStyle name="Note 3 3 2 10" xfId="9099" xr:uid="{29F3AC20-D296-4B59-BA53-0A5C025B0569}"/>
    <cellStyle name="Note 3 3 2 11" xfId="10024" xr:uid="{9D69D970-CD82-45FD-B656-9EABF4F2E756}"/>
    <cellStyle name="Note 3 3 2 2" xfId="1019" xr:uid="{00000000-0005-0000-0000-0000A9210000}"/>
    <cellStyle name="Note 3 3 2 2 2" xfId="3251" xr:uid="{00000000-0005-0000-0000-0000AA210000}"/>
    <cellStyle name="Note 3 3 2 2 2 2" xfId="7473" xr:uid="{00000000-0005-0000-0000-0000AB210000}"/>
    <cellStyle name="Note 3 3 2 2 2 2 2" xfId="16799" xr:uid="{60D5454E-E53D-4E7D-B7EA-4F78035670E0}"/>
    <cellStyle name="Note 3 3 2 2 2 3" xfId="12582" xr:uid="{F153D37A-2994-4C53-BA57-0855C50E7CB5}"/>
    <cellStyle name="Note 3 3 2 2 3" xfId="5328" xr:uid="{00000000-0005-0000-0000-0000AC210000}"/>
    <cellStyle name="Note 3 3 2 2 3 2" xfId="14654" xr:uid="{A7BA050E-E353-48A4-908D-552E14BF8A86}"/>
    <cellStyle name="Note 3 3 2 2 4" xfId="9524" xr:uid="{D03F5DE7-D9AB-48C0-A1E3-0A929D2C18C5}"/>
    <cellStyle name="Note 3 3 2 2 5" xfId="10437" xr:uid="{6375BEF9-7806-4231-840B-A68DA381DBD8}"/>
    <cellStyle name="Note 3 3 2 3" xfId="1434" xr:uid="{00000000-0005-0000-0000-0000AD210000}"/>
    <cellStyle name="Note 3 3 2 3 2" xfId="3664" xr:uid="{00000000-0005-0000-0000-0000AE210000}"/>
    <cellStyle name="Note 3 3 2 3 2 2" xfId="7886" xr:uid="{00000000-0005-0000-0000-0000AF210000}"/>
    <cellStyle name="Note 3 3 2 3 2 2 2" xfId="17212" xr:uid="{33CF133A-E504-4759-810C-068BAB66BEE1}"/>
    <cellStyle name="Note 3 3 2 3 2 3" xfId="12995" xr:uid="{41325A4D-41DC-482B-900F-536ADA64D925}"/>
    <cellStyle name="Note 3 3 2 3 3" xfId="5741" xr:uid="{00000000-0005-0000-0000-0000B0210000}"/>
    <cellStyle name="Note 3 3 2 3 3 2" xfId="15067" xr:uid="{C4B857AB-C5A5-4EF5-A465-9D40B2026FFE}"/>
    <cellStyle name="Note 3 3 2 3 4" xfId="10850" xr:uid="{38B4F1F9-04F7-491D-9DC2-567E23B49F6E}"/>
    <cellStyle name="Note 3 3 2 4" xfId="1848" xr:uid="{00000000-0005-0000-0000-0000B1210000}"/>
    <cellStyle name="Note 3 3 2 4 2" xfId="4077" xr:uid="{00000000-0005-0000-0000-0000B2210000}"/>
    <cellStyle name="Note 3 3 2 4 2 2" xfId="8299" xr:uid="{00000000-0005-0000-0000-0000B3210000}"/>
    <cellStyle name="Note 3 3 2 4 2 2 2" xfId="17625" xr:uid="{EFC934A2-5E4C-4D28-A479-8D246794AB55}"/>
    <cellStyle name="Note 3 3 2 4 2 3" xfId="13408" xr:uid="{C2BD9A41-8C29-474F-8631-5088E8A17B95}"/>
    <cellStyle name="Note 3 3 2 4 3" xfId="6154" xr:uid="{00000000-0005-0000-0000-0000B4210000}"/>
    <cellStyle name="Note 3 3 2 4 3 2" xfId="15480" xr:uid="{75B242D4-DE03-4944-A91A-87192B0B8ABB}"/>
    <cellStyle name="Note 3 3 2 4 4" xfId="11263" xr:uid="{233B59DB-3F5B-409C-A1FC-C97707247D36}"/>
    <cellStyle name="Note 3 3 2 5" xfId="2261" xr:uid="{00000000-0005-0000-0000-0000B5210000}"/>
    <cellStyle name="Note 3 3 2 5 2" xfId="4490" xr:uid="{00000000-0005-0000-0000-0000B6210000}"/>
    <cellStyle name="Note 3 3 2 5 2 2" xfId="8712" xr:uid="{00000000-0005-0000-0000-0000B7210000}"/>
    <cellStyle name="Note 3 3 2 5 2 2 2" xfId="18038" xr:uid="{2992AC64-7DAF-4D66-93B2-DC94BFFFA2BC}"/>
    <cellStyle name="Note 3 3 2 5 2 3" xfId="13821" xr:uid="{1DADF442-9CA1-48BB-ABA9-D5042465FA40}"/>
    <cellStyle name="Note 3 3 2 5 3" xfId="6567" xr:uid="{00000000-0005-0000-0000-0000B8210000}"/>
    <cellStyle name="Note 3 3 2 5 3 2" xfId="15893" xr:uid="{65CD62FB-234F-4C63-8DF9-5B0110173E10}"/>
    <cellStyle name="Note 3 3 2 5 4" xfId="11676" xr:uid="{5E2E58FB-9616-479A-8C72-41392BB1A331}"/>
    <cellStyle name="Note 3 3 2 6" xfId="2697" xr:uid="{00000000-0005-0000-0000-0000B9210000}"/>
    <cellStyle name="Note 3 3 2 6 2" xfId="6980" xr:uid="{00000000-0005-0000-0000-0000BA210000}"/>
    <cellStyle name="Note 3 3 2 6 2 2" xfId="16306" xr:uid="{EB1B31D5-39F8-4BF2-92BD-4565BDC732CC}"/>
    <cellStyle name="Note 3 3 2 6 3" xfId="12089" xr:uid="{E764FA56-3146-4E56-A7AA-48E0C5C2DCA2}"/>
    <cellStyle name="Note 3 3 2 7" xfId="2756" xr:uid="{00000000-0005-0000-0000-0000BB210000}"/>
    <cellStyle name="Note 3 3 2 8" xfId="2837" xr:uid="{00000000-0005-0000-0000-0000BC210000}"/>
    <cellStyle name="Note 3 3 2 8 2" xfId="7060" xr:uid="{00000000-0005-0000-0000-0000BD210000}"/>
    <cellStyle name="Note 3 3 2 8 2 2" xfId="16386" xr:uid="{BEE5383C-F542-469E-8601-366538604ECF}"/>
    <cellStyle name="Note 3 3 2 8 3" xfId="12169" xr:uid="{36E77D97-D2C9-49A7-A858-E2CF2F97901B}"/>
    <cellStyle name="Note 3 3 2 9" xfId="4915" xr:uid="{00000000-0005-0000-0000-0000BE210000}"/>
    <cellStyle name="Note 3 3 2 9 2" xfId="14241" xr:uid="{B99343F1-0C51-440F-A17D-4133DACE5B1C}"/>
    <cellStyle name="Note 3 3 3" xfId="1018" xr:uid="{00000000-0005-0000-0000-0000BF210000}"/>
    <cellStyle name="Note 3 3 3 2" xfId="3250" xr:uid="{00000000-0005-0000-0000-0000C0210000}"/>
    <cellStyle name="Note 3 3 3 2 2" xfId="7472" xr:uid="{00000000-0005-0000-0000-0000C1210000}"/>
    <cellStyle name="Note 3 3 3 2 2 2" xfId="16798" xr:uid="{F6204E73-2FEC-4410-A8A4-40BF5FB91CF7}"/>
    <cellStyle name="Note 3 3 3 2 3" xfId="12581" xr:uid="{CA7FEEF1-3397-4E11-9763-3AD1BAF7C98D}"/>
    <cellStyle name="Note 3 3 3 3" xfId="5327" xr:uid="{00000000-0005-0000-0000-0000C2210000}"/>
    <cellStyle name="Note 3 3 3 3 2" xfId="14653" xr:uid="{3ECFA590-BCD9-4F65-8EDD-32B7CA0D0B2D}"/>
    <cellStyle name="Note 3 3 3 4" xfId="9317" xr:uid="{171D8024-554D-4F15-BFD3-81CBE1A601EA}"/>
    <cellStyle name="Note 3 3 3 5" xfId="10436" xr:uid="{8A118D61-BB5C-4DF7-8E18-9C4B46559896}"/>
    <cellStyle name="Note 3 3 4" xfId="1433" xr:uid="{00000000-0005-0000-0000-0000C3210000}"/>
    <cellStyle name="Note 3 3 4 2" xfId="3663" xr:uid="{00000000-0005-0000-0000-0000C4210000}"/>
    <cellStyle name="Note 3 3 4 2 2" xfId="7885" xr:uid="{00000000-0005-0000-0000-0000C5210000}"/>
    <cellStyle name="Note 3 3 4 2 2 2" xfId="17211" xr:uid="{494E1355-A8F5-46CA-B698-0F9757600B46}"/>
    <cellStyle name="Note 3 3 4 2 3" xfId="12994" xr:uid="{2E204447-61BE-47DB-8FC7-AE2AD0913607}"/>
    <cellStyle name="Note 3 3 4 3" xfId="5740" xr:uid="{00000000-0005-0000-0000-0000C6210000}"/>
    <cellStyle name="Note 3 3 4 3 2" xfId="15066" xr:uid="{0A8CC152-AF0C-4C66-9CCF-49AF0BFEF17A}"/>
    <cellStyle name="Note 3 3 4 4" xfId="10849" xr:uid="{97C98E97-274F-4D48-BD8D-C7F6E3798C27}"/>
    <cellStyle name="Note 3 3 5" xfId="1847" xr:uid="{00000000-0005-0000-0000-0000C7210000}"/>
    <cellStyle name="Note 3 3 5 2" xfId="4076" xr:uid="{00000000-0005-0000-0000-0000C8210000}"/>
    <cellStyle name="Note 3 3 5 2 2" xfId="8298" xr:uid="{00000000-0005-0000-0000-0000C9210000}"/>
    <cellStyle name="Note 3 3 5 2 2 2" xfId="17624" xr:uid="{9FB2C71A-6124-49FA-8941-015B9F70DB65}"/>
    <cellStyle name="Note 3 3 5 2 3" xfId="13407" xr:uid="{4DA167A0-B087-431A-9E3E-ED28B01910C3}"/>
    <cellStyle name="Note 3 3 5 3" xfId="6153" xr:uid="{00000000-0005-0000-0000-0000CA210000}"/>
    <cellStyle name="Note 3 3 5 3 2" xfId="15479" xr:uid="{75AFD834-D8CA-4800-930C-2D5B047C98B4}"/>
    <cellStyle name="Note 3 3 5 4" xfId="11262" xr:uid="{7DCBA55F-D0FC-40B9-BB80-FDD871F280EA}"/>
    <cellStyle name="Note 3 3 6" xfId="2260" xr:uid="{00000000-0005-0000-0000-0000CB210000}"/>
    <cellStyle name="Note 3 3 6 2" xfId="4489" xr:uid="{00000000-0005-0000-0000-0000CC210000}"/>
    <cellStyle name="Note 3 3 6 2 2" xfId="8711" xr:uid="{00000000-0005-0000-0000-0000CD210000}"/>
    <cellStyle name="Note 3 3 6 2 2 2" xfId="18037" xr:uid="{A95D3F78-5B14-4164-99F4-192D691226F1}"/>
    <cellStyle name="Note 3 3 6 2 3" xfId="13820" xr:uid="{CAD07B25-EDD8-4537-9DD2-4EE080A29C25}"/>
    <cellStyle name="Note 3 3 6 3" xfId="6566" xr:uid="{00000000-0005-0000-0000-0000CE210000}"/>
    <cellStyle name="Note 3 3 6 3 2" xfId="15892" xr:uid="{2E753BD5-C062-48EA-BB34-F3C46F0BCB64}"/>
    <cellStyle name="Note 3 3 6 4" xfId="11675" xr:uid="{418CA597-845C-4FFA-BE35-3F26572C2EED}"/>
    <cellStyle name="Note 3 3 7" xfId="2696" xr:uid="{00000000-0005-0000-0000-0000CF210000}"/>
    <cellStyle name="Note 3 3 7 2" xfId="6979" xr:uid="{00000000-0005-0000-0000-0000D0210000}"/>
    <cellStyle name="Note 3 3 7 2 2" xfId="16305" xr:uid="{1FC4927D-EE8E-4B60-85CD-D7A70722CBDF}"/>
    <cellStyle name="Note 3 3 7 3" xfId="12088" xr:uid="{648258F4-FCD0-4185-8AAD-6AFB4140B9B2}"/>
    <cellStyle name="Note 3 3 8" xfId="2755" xr:uid="{00000000-0005-0000-0000-0000D1210000}"/>
    <cellStyle name="Note 3 3 9" xfId="2836" xr:uid="{00000000-0005-0000-0000-0000D2210000}"/>
    <cellStyle name="Note 3 3 9 2" xfId="7059" xr:uid="{00000000-0005-0000-0000-0000D3210000}"/>
    <cellStyle name="Note 3 3 9 2 2" xfId="16385" xr:uid="{635133B8-47AC-448F-B5BD-F283A9E66A23}"/>
    <cellStyle name="Note 3 3 9 3" xfId="12168" xr:uid="{299B1046-ACE1-4EE5-8041-D541899CBE4C}"/>
    <cellStyle name="Note 3 4" xfId="560" xr:uid="{00000000-0005-0000-0000-0000D4210000}"/>
    <cellStyle name="Note 3 4 10" xfId="8996" xr:uid="{0D704BEA-0820-4E61-9EA3-F4C1E73C6543}"/>
    <cellStyle name="Note 3 4 11" xfId="10025" xr:uid="{9D260CD3-ED87-40A6-BBB1-2F9C4FF0A1D6}"/>
    <cellStyle name="Note 3 4 2" xfId="1020" xr:uid="{00000000-0005-0000-0000-0000D5210000}"/>
    <cellStyle name="Note 3 4 2 2" xfId="3252" xr:uid="{00000000-0005-0000-0000-0000D6210000}"/>
    <cellStyle name="Note 3 4 2 2 2" xfId="7474" xr:uid="{00000000-0005-0000-0000-0000D7210000}"/>
    <cellStyle name="Note 3 4 2 2 2 2" xfId="16800" xr:uid="{FF6E644C-2E20-4696-962D-3465570D8116}"/>
    <cellStyle name="Note 3 4 2 2 3" xfId="12583" xr:uid="{F0AA7B68-1EC5-4D5A-9154-E7FAD4D1AE54}"/>
    <cellStyle name="Note 3 4 2 3" xfId="5329" xr:uid="{00000000-0005-0000-0000-0000D8210000}"/>
    <cellStyle name="Note 3 4 2 3 2" xfId="14655" xr:uid="{50D6015A-FE29-42E4-9A6C-2B916DE0DD3C}"/>
    <cellStyle name="Note 3 4 2 4" xfId="9421" xr:uid="{EC0A57E0-416C-4EC5-866A-A09E44531CB5}"/>
    <cellStyle name="Note 3 4 2 5" xfId="10438" xr:uid="{8392821B-FB0F-454F-B725-800012A2C08C}"/>
    <cellStyle name="Note 3 4 3" xfId="1435" xr:uid="{00000000-0005-0000-0000-0000D9210000}"/>
    <cellStyle name="Note 3 4 3 2" xfId="3665" xr:uid="{00000000-0005-0000-0000-0000DA210000}"/>
    <cellStyle name="Note 3 4 3 2 2" xfId="7887" xr:uid="{00000000-0005-0000-0000-0000DB210000}"/>
    <cellStyle name="Note 3 4 3 2 2 2" xfId="17213" xr:uid="{9385357E-A942-43F8-8D60-9B8E32890E45}"/>
    <cellStyle name="Note 3 4 3 2 3" xfId="12996" xr:uid="{C8DFAED7-CC3D-4FBD-9761-6AB2A89C916B}"/>
    <cellStyle name="Note 3 4 3 3" xfId="5742" xr:uid="{00000000-0005-0000-0000-0000DC210000}"/>
    <cellStyle name="Note 3 4 3 3 2" xfId="15068" xr:uid="{D1CA6211-BBE3-4DEB-B58C-5BC283825244}"/>
    <cellStyle name="Note 3 4 3 4" xfId="10851" xr:uid="{6F456C2F-38D7-489A-A4CA-FA326DC77E73}"/>
    <cellStyle name="Note 3 4 4" xfId="1849" xr:uid="{00000000-0005-0000-0000-0000DD210000}"/>
    <cellStyle name="Note 3 4 4 2" xfId="4078" xr:uid="{00000000-0005-0000-0000-0000DE210000}"/>
    <cellStyle name="Note 3 4 4 2 2" xfId="8300" xr:uid="{00000000-0005-0000-0000-0000DF210000}"/>
    <cellStyle name="Note 3 4 4 2 2 2" xfId="17626" xr:uid="{08598FDF-9B4D-4508-9CC1-B9304F83D9A4}"/>
    <cellStyle name="Note 3 4 4 2 3" xfId="13409" xr:uid="{5406821D-C7A6-44E6-885B-73649EB7A5A5}"/>
    <cellStyle name="Note 3 4 4 3" xfId="6155" xr:uid="{00000000-0005-0000-0000-0000E0210000}"/>
    <cellStyle name="Note 3 4 4 3 2" xfId="15481" xr:uid="{97602FCB-3347-4C17-85B7-0700ADE22DAF}"/>
    <cellStyle name="Note 3 4 4 4" xfId="11264" xr:uid="{4F8A8945-94E1-44EE-A8C6-645EE9D8A2B5}"/>
    <cellStyle name="Note 3 4 5" xfId="2262" xr:uid="{00000000-0005-0000-0000-0000E1210000}"/>
    <cellStyle name="Note 3 4 5 2" xfId="4491" xr:uid="{00000000-0005-0000-0000-0000E2210000}"/>
    <cellStyle name="Note 3 4 5 2 2" xfId="8713" xr:uid="{00000000-0005-0000-0000-0000E3210000}"/>
    <cellStyle name="Note 3 4 5 2 2 2" xfId="18039" xr:uid="{E6259961-7C2C-46A6-8D3D-1E871568A157}"/>
    <cellStyle name="Note 3 4 5 2 3" xfId="13822" xr:uid="{A4A60F2D-2846-427D-A5C1-F024B8448FD9}"/>
    <cellStyle name="Note 3 4 5 3" xfId="6568" xr:uid="{00000000-0005-0000-0000-0000E4210000}"/>
    <cellStyle name="Note 3 4 5 3 2" xfId="15894" xr:uid="{210592C9-7D69-481D-B527-9631CDE48935}"/>
    <cellStyle name="Note 3 4 5 4" xfId="11677" xr:uid="{926EF427-6D85-4C61-80DB-4DF34E2636AD}"/>
    <cellStyle name="Note 3 4 6" xfId="2698" xr:uid="{00000000-0005-0000-0000-0000E5210000}"/>
    <cellStyle name="Note 3 4 6 2" xfId="6981" xr:uid="{00000000-0005-0000-0000-0000E6210000}"/>
    <cellStyle name="Note 3 4 6 2 2" xfId="16307" xr:uid="{681AF250-087A-4BA0-8719-9E1925FB5BD6}"/>
    <cellStyle name="Note 3 4 6 3" xfId="12090" xr:uid="{7E1C5DA4-5C64-471B-8507-306083471843}"/>
    <cellStyle name="Note 3 4 7" xfId="2757" xr:uid="{00000000-0005-0000-0000-0000E7210000}"/>
    <cellStyle name="Note 3 4 8" xfId="2838" xr:uid="{00000000-0005-0000-0000-0000E8210000}"/>
    <cellStyle name="Note 3 4 8 2" xfId="7061" xr:uid="{00000000-0005-0000-0000-0000E9210000}"/>
    <cellStyle name="Note 3 4 8 2 2" xfId="16387" xr:uid="{72181A2A-2796-4990-A591-A4A7A333A426}"/>
    <cellStyle name="Note 3 4 8 3" xfId="12170" xr:uid="{485741B0-9FCE-4BD2-8237-3B622FD988DD}"/>
    <cellStyle name="Note 3 4 9" xfId="4916" xr:uid="{00000000-0005-0000-0000-0000EA210000}"/>
    <cellStyle name="Note 3 4 9 2" xfId="14242" xr:uid="{D49C323E-4E65-4493-A9EE-B5E77EDFC575}"/>
    <cellStyle name="Note 3 5" xfId="561" xr:uid="{00000000-0005-0000-0000-0000EB210000}"/>
    <cellStyle name="Note 3 5 10" xfId="9213" xr:uid="{D9D7FB9A-B03C-4A97-A778-36731B43DF3F}"/>
    <cellStyle name="Note 3 5 11" xfId="10026" xr:uid="{6D23B88A-C73F-4FC0-96AF-349E47D424DC}"/>
    <cellStyle name="Note 3 5 2" xfId="1021" xr:uid="{00000000-0005-0000-0000-0000EC210000}"/>
    <cellStyle name="Note 3 5 2 2" xfId="3253" xr:uid="{00000000-0005-0000-0000-0000ED210000}"/>
    <cellStyle name="Note 3 5 2 2 2" xfId="7475" xr:uid="{00000000-0005-0000-0000-0000EE210000}"/>
    <cellStyle name="Note 3 5 2 2 2 2" xfId="16801" xr:uid="{EB8D7A1B-C460-4B6C-995A-DFB910A2D442}"/>
    <cellStyle name="Note 3 5 2 2 3" xfId="12584" xr:uid="{BF6AC30F-D36A-46F6-82FE-544F87E6E060}"/>
    <cellStyle name="Note 3 5 2 3" xfId="5330" xr:uid="{00000000-0005-0000-0000-0000EF210000}"/>
    <cellStyle name="Note 3 5 2 3 2" xfId="14656" xr:uid="{430C684C-1F57-44C2-8CA7-D143BFB59C03}"/>
    <cellStyle name="Note 3 5 2 4" xfId="9611" xr:uid="{74765414-66B3-4FDA-BA21-3BFFEF98E338}"/>
    <cellStyle name="Note 3 5 2 5" xfId="10439" xr:uid="{53931296-C587-487E-8CF9-F3554EA50316}"/>
    <cellStyle name="Note 3 5 3" xfId="1436" xr:uid="{00000000-0005-0000-0000-0000F0210000}"/>
    <cellStyle name="Note 3 5 3 2" xfId="3666" xr:uid="{00000000-0005-0000-0000-0000F1210000}"/>
    <cellStyle name="Note 3 5 3 2 2" xfId="7888" xr:uid="{00000000-0005-0000-0000-0000F2210000}"/>
    <cellStyle name="Note 3 5 3 2 2 2" xfId="17214" xr:uid="{5C14B6E4-FB5E-442E-A87F-4F0EEBEA5EAD}"/>
    <cellStyle name="Note 3 5 3 2 3" xfId="12997" xr:uid="{CACEDBD3-68FC-4C6C-92B5-EE13B7653CF5}"/>
    <cellStyle name="Note 3 5 3 3" xfId="5743" xr:uid="{00000000-0005-0000-0000-0000F3210000}"/>
    <cellStyle name="Note 3 5 3 3 2" xfId="15069" xr:uid="{6E7D3873-48F6-4EC1-930E-03E09C0D7EE9}"/>
    <cellStyle name="Note 3 5 3 4" xfId="10852" xr:uid="{A61251A4-4339-43D1-98EC-F72BA1CE504B}"/>
    <cellStyle name="Note 3 5 4" xfId="1850" xr:uid="{00000000-0005-0000-0000-0000F4210000}"/>
    <cellStyle name="Note 3 5 4 2" xfId="4079" xr:uid="{00000000-0005-0000-0000-0000F5210000}"/>
    <cellStyle name="Note 3 5 4 2 2" xfId="8301" xr:uid="{00000000-0005-0000-0000-0000F6210000}"/>
    <cellStyle name="Note 3 5 4 2 2 2" xfId="17627" xr:uid="{D2CC8660-CA75-4989-A07A-3DC25499739A}"/>
    <cellStyle name="Note 3 5 4 2 3" xfId="13410" xr:uid="{2459152E-CCAB-4F8C-9D0E-3B544466041B}"/>
    <cellStyle name="Note 3 5 4 3" xfId="6156" xr:uid="{00000000-0005-0000-0000-0000F7210000}"/>
    <cellStyle name="Note 3 5 4 3 2" xfId="15482" xr:uid="{24A8A241-36FE-4446-9E1A-DDE2510DADA6}"/>
    <cellStyle name="Note 3 5 4 4" xfId="11265" xr:uid="{822E9629-386F-452D-AE9B-E15AC3988DD7}"/>
    <cellStyle name="Note 3 5 5" xfId="2263" xr:uid="{00000000-0005-0000-0000-0000F8210000}"/>
    <cellStyle name="Note 3 5 5 2" xfId="4492" xr:uid="{00000000-0005-0000-0000-0000F9210000}"/>
    <cellStyle name="Note 3 5 5 2 2" xfId="8714" xr:uid="{00000000-0005-0000-0000-0000FA210000}"/>
    <cellStyle name="Note 3 5 5 2 2 2" xfId="18040" xr:uid="{6CA1D901-B2E7-4635-BFFC-8C6B968DDF92}"/>
    <cellStyle name="Note 3 5 5 2 3" xfId="13823" xr:uid="{847DB777-AF17-47FF-A5D0-AA0C05B0BC5F}"/>
    <cellStyle name="Note 3 5 5 3" xfId="6569" xr:uid="{00000000-0005-0000-0000-0000FB210000}"/>
    <cellStyle name="Note 3 5 5 3 2" xfId="15895" xr:uid="{24E7690E-95A8-4ABC-8EB2-7AE5085177A2}"/>
    <cellStyle name="Note 3 5 5 4" xfId="11678" xr:uid="{34DE74DD-0FB3-4E89-BAFD-636A5C06D349}"/>
    <cellStyle name="Note 3 5 6" xfId="2699" xr:uid="{00000000-0005-0000-0000-0000FC210000}"/>
    <cellStyle name="Note 3 5 6 2" xfId="6982" xr:uid="{00000000-0005-0000-0000-0000FD210000}"/>
    <cellStyle name="Note 3 5 6 2 2" xfId="16308" xr:uid="{CB8AA034-6E8D-4999-A121-286E30AC0F03}"/>
    <cellStyle name="Note 3 5 6 3" xfId="12091" xr:uid="{43A42ED9-D9A0-4A1B-9CB5-20AE80330003}"/>
    <cellStyle name="Note 3 5 7" xfId="2758" xr:uid="{00000000-0005-0000-0000-0000FE210000}"/>
    <cellStyle name="Note 3 5 8" xfId="2839" xr:uid="{00000000-0005-0000-0000-0000FF210000}"/>
    <cellStyle name="Note 3 5 8 2" xfId="7062" xr:uid="{00000000-0005-0000-0000-000000220000}"/>
    <cellStyle name="Note 3 5 8 2 2" xfId="16388" xr:uid="{2840596B-7B8F-4AE8-9B8A-6B858669113A}"/>
    <cellStyle name="Note 3 5 8 3" xfId="12171" xr:uid="{02A93F95-C5DF-495D-911F-5440A32336AF}"/>
    <cellStyle name="Note 3 5 9" xfId="4917" xr:uid="{00000000-0005-0000-0000-000001220000}"/>
    <cellStyle name="Note 3 5 9 2" xfId="14243" xr:uid="{EE6423BF-3B64-4A23-AC11-917E1AF05D3C}"/>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3" xfId="13826" xr:uid="{E082C062-97D2-44A9-B87F-5717FB370CB4}"/>
    <cellStyle name="Percent 4" xfId="4502" xr:uid="{00000000-0005-0000-0000-000007220000}"/>
    <cellStyle name="Percent 4 2" xfId="8717" xr:uid="{00000000-0005-0000-0000-000008220000}"/>
    <cellStyle name="Percent 4 2 2" xfId="18043" xr:uid="{A6CFDC09-471C-48F4-9F64-85B273C4EC32}"/>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3" xfId="18059" xr:uid="{889D29FD-E67E-48E9-B795-E37967026F6E}"/>
    <cellStyle name="Percent 4 3 2 2 2 3" xfId="18056" xr:uid="{76D14458-40A2-49BA-BFF3-1D63633C1507}"/>
    <cellStyle name="Percent 4 3 2 2 3" xfId="18052" xr:uid="{815A0F1F-81C5-49DF-A698-9FE24F575DB9}"/>
    <cellStyle name="Percent 4 3 2 3" xfId="18049" xr:uid="{457423DF-962B-4F72-BEC1-124EBF8D1CD8}"/>
    <cellStyle name="Percent 4 3 3" xfId="18046" xr:uid="{4FB66D82-FF7E-4106-83A5-F1119A90C129}"/>
    <cellStyle name="Percent 4 4" xfId="13829" xr:uid="{578CE650-A333-4771-94E9-0E4B24598707}"/>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92075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586" t="s">
        <v>548</v>
      </c>
      <c r="B1" s="1586"/>
      <c r="C1" s="1586"/>
      <c r="D1" s="1586"/>
      <c r="E1" s="1586"/>
      <c r="F1" s="1586"/>
      <c r="G1" s="1586"/>
      <c r="H1" s="1586"/>
      <c r="I1" s="1586"/>
      <c r="J1" s="1586"/>
      <c r="K1" s="1586"/>
      <c r="L1" s="1586"/>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row>
    <row r="2" spans="1:38" ht="13.5" thickBot="1">
      <c r="A2" s="1807"/>
      <c r="B2" s="1807"/>
      <c r="C2" s="1807"/>
      <c r="D2" s="1807"/>
      <c r="E2" s="1807"/>
      <c r="F2" s="1807"/>
      <c r="G2" s="1807"/>
      <c r="H2" s="1807"/>
      <c r="I2" s="1807"/>
      <c r="J2" s="1807"/>
      <c r="K2" s="1807"/>
      <c r="L2" s="1807"/>
      <c r="M2" s="1807"/>
      <c r="N2" s="1807"/>
      <c r="O2" s="1807"/>
      <c r="P2" s="1807"/>
      <c r="Q2" s="1807"/>
      <c r="R2" s="1807"/>
      <c r="S2" s="1807"/>
      <c r="T2" s="1807"/>
      <c r="U2" s="1807"/>
      <c r="V2" s="1807"/>
      <c r="W2" s="1807"/>
      <c r="X2" s="1807"/>
      <c r="Y2" s="1807"/>
      <c r="Z2" s="1807"/>
      <c r="AA2" s="1807"/>
      <c r="AB2" s="1807"/>
      <c r="AC2" s="1807"/>
      <c r="AD2" s="1807"/>
      <c r="AE2" s="1807"/>
      <c r="AF2" s="1807"/>
      <c r="AG2" s="1807"/>
      <c r="AH2" s="1807"/>
      <c r="AI2" s="1807"/>
      <c r="AJ2" s="1807"/>
      <c r="AK2" s="1807"/>
      <c r="AL2" s="1807"/>
    </row>
    <row r="3" spans="1:38" ht="13.5" thickTop="1"/>
    <row r="4" spans="1:38" s="5" customFormat="1">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78" t="s">
        <v>1991</v>
      </c>
      <c r="E7" s="1478"/>
      <c r="F7" s="1478"/>
      <c r="G7" s="1478"/>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455"/>
    </row>
    <row r="8" spans="1:38">
      <c r="A8" s="204"/>
      <c r="B8" s="204"/>
      <c r="C8" s="205"/>
      <c r="D8" s="1478"/>
      <c r="E8" s="1478"/>
      <c r="F8" s="1478"/>
      <c r="G8" s="1478"/>
      <c r="H8" s="1478"/>
      <c r="I8" s="1478"/>
      <c r="J8" s="1478"/>
      <c r="K8" s="1478"/>
      <c r="L8" s="1478"/>
      <c r="M8" s="1478"/>
      <c r="N8" s="1478"/>
      <c r="O8" s="1478"/>
      <c r="P8" s="1478"/>
      <c r="Q8" s="1478"/>
      <c r="R8" s="1478"/>
      <c r="S8" s="1478"/>
      <c r="T8" s="1478"/>
      <c r="U8" s="1478"/>
      <c r="V8" s="1478"/>
      <c r="W8" s="1478"/>
      <c r="X8" s="1478"/>
      <c r="Y8" s="1478"/>
      <c r="Z8" s="1478"/>
      <c r="AA8" s="1478"/>
      <c r="AB8" s="1478"/>
      <c r="AC8" s="1478"/>
      <c r="AD8" s="1478"/>
      <c r="AE8" s="1478"/>
      <c r="AF8" s="1478"/>
      <c r="AG8" s="1478"/>
      <c r="AH8" s="1478"/>
      <c r="AI8" s="1478"/>
      <c r="AJ8" s="1478"/>
      <c r="AK8" s="1478"/>
      <c r="AL8" s="455"/>
    </row>
    <row r="9" spans="1:38">
      <c r="A9" s="204"/>
      <c r="B9" s="204"/>
      <c r="C9" s="205"/>
      <c r="D9" s="1478"/>
      <c r="E9" s="1478"/>
      <c r="F9" s="1478"/>
      <c r="G9" s="1478"/>
      <c r="H9" s="1478"/>
      <c r="I9" s="1478"/>
      <c r="J9" s="1478"/>
      <c r="K9" s="1478"/>
      <c r="L9" s="1478"/>
      <c r="M9" s="1478"/>
      <c r="N9" s="1478"/>
      <c r="O9" s="1478"/>
      <c r="P9" s="1478"/>
      <c r="Q9" s="1478"/>
      <c r="R9" s="1478"/>
      <c r="S9" s="1478"/>
      <c r="T9" s="1478"/>
      <c r="U9" s="1478"/>
      <c r="V9" s="1478"/>
      <c r="W9" s="1478"/>
      <c r="X9" s="1478"/>
      <c r="Y9" s="1478"/>
      <c r="Z9" s="1478"/>
      <c r="AA9" s="1478"/>
      <c r="AB9" s="1478"/>
      <c r="AC9" s="1478"/>
      <c r="AD9" s="1478"/>
      <c r="AE9" s="1478"/>
      <c r="AF9" s="1478"/>
      <c r="AG9" s="1478"/>
      <c r="AH9" s="1478"/>
      <c r="AI9" s="1478"/>
      <c r="AJ9" s="1478"/>
      <c r="AK9" s="147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78" t="s">
        <v>1992</v>
      </c>
      <c r="E11" s="1478"/>
      <c r="F11" s="1478"/>
      <c r="G11" s="1478"/>
      <c r="H11" s="1478"/>
      <c r="I11" s="1478"/>
      <c r="J11" s="1478"/>
      <c r="K11" s="1478"/>
      <c r="L11" s="1478"/>
      <c r="M11" s="1478"/>
      <c r="N11" s="1478"/>
      <c r="O11" s="1478"/>
      <c r="P11" s="1478"/>
      <c r="Q11" s="1478"/>
      <c r="R11" s="1478"/>
      <c r="S11" s="1478"/>
      <c r="T11" s="1478"/>
      <c r="U11" s="1478"/>
      <c r="V11" s="1478"/>
      <c r="W11" s="1478"/>
      <c r="X11" s="1478"/>
      <c r="Y11" s="1478"/>
      <c r="Z11" s="1478"/>
      <c r="AA11" s="1478"/>
      <c r="AB11" s="1478"/>
      <c r="AC11" s="1478"/>
      <c r="AD11" s="1478"/>
      <c r="AE11" s="1478"/>
      <c r="AF11" s="1478"/>
      <c r="AG11" s="1478"/>
      <c r="AH11" s="1478"/>
      <c r="AI11" s="1478"/>
      <c r="AJ11" s="1478"/>
      <c r="AK11" s="1478"/>
      <c r="AL11" s="455"/>
    </row>
    <row r="12" spans="1:38">
      <c r="A12" s="204"/>
      <c r="B12" s="204"/>
      <c r="C12" s="205"/>
      <c r="D12" s="1478"/>
      <c r="E12" s="1478"/>
      <c r="F12" s="1478"/>
      <c r="G12" s="1478"/>
      <c r="H12" s="1478"/>
      <c r="I12" s="1478"/>
      <c r="J12" s="1478"/>
      <c r="K12" s="1478"/>
      <c r="L12" s="1478"/>
      <c r="M12" s="1478"/>
      <c r="N12" s="1478"/>
      <c r="O12" s="1478"/>
      <c r="P12" s="1478"/>
      <c r="Q12" s="1478"/>
      <c r="R12" s="1478"/>
      <c r="S12" s="1478"/>
      <c r="T12" s="1478"/>
      <c r="U12" s="1478"/>
      <c r="V12" s="1478"/>
      <c r="W12" s="1478"/>
      <c r="X12" s="1478"/>
      <c r="Y12" s="1478"/>
      <c r="Z12" s="1478"/>
      <c r="AA12" s="1478"/>
      <c r="AB12" s="1478"/>
      <c r="AC12" s="1478"/>
      <c r="AD12" s="1478"/>
      <c r="AE12" s="1478"/>
      <c r="AF12" s="1478"/>
      <c r="AG12" s="1478"/>
      <c r="AH12" s="1478"/>
      <c r="AI12" s="1478"/>
      <c r="AJ12" s="1478"/>
      <c r="AK12" s="1478"/>
      <c r="AL12" s="455"/>
    </row>
    <row r="13" spans="1:38">
      <c r="A13" s="204"/>
      <c r="B13" s="204"/>
      <c r="C13" s="205"/>
      <c r="D13" s="1478"/>
      <c r="E13" s="1478"/>
      <c r="F13" s="1478"/>
      <c r="G13" s="1478"/>
      <c r="H13" s="1478"/>
      <c r="I13" s="1478"/>
      <c r="J13" s="1478"/>
      <c r="K13" s="1478"/>
      <c r="L13" s="1478"/>
      <c r="M13" s="1478"/>
      <c r="N13" s="1478"/>
      <c r="O13" s="1478"/>
      <c r="P13" s="1478"/>
      <c r="Q13" s="1478"/>
      <c r="R13" s="1478"/>
      <c r="S13" s="1478"/>
      <c r="T13" s="1478"/>
      <c r="U13" s="1478"/>
      <c r="V13" s="1478"/>
      <c r="W13" s="1478"/>
      <c r="X13" s="1478"/>
      <c r="Y13" s="1478"/>
      <c r="Z13" s="1478"/>
      <c r="AA13" s="1478"/>
      <c r="AB13" s="1478"/>
      <c r="AC13" s="1478"/>
      <c r="AD13" s="1478"/>
      <c r="AE13" s="1478"/>
      <c r="AF13" s="1478"/>
      <c r="AG13" s="1478"/>
      <c r="AH13" s="1478"/>
      <c r="AI13" s="1478"/>
      <c r="AJ13" s="1478"/>
      <c r="AK13" s="147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78" t="s">
        <v>2526</v>
      </c>
      <c r="E15" s="1478"/>
      <c r="F15" s="1478"/>
      <c r="G15" s="1478"/>
      <c r="H15" s="1478"/>
      <c r="I15" s="1478"/>
      <c r="J15" s="1478"/>
      <c r="K15" s="1478"/>
      <c r="L15" s="1478"/>
      <c r="M15" s="1478"/>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c r="AL15" s="455"/>
    </row>
    <row r="16" spans="1:38" ht="13.15" customHeight="1">
      <c r="A16" s="204"/>
      <c r="B16" s="204"/>
      <c r="C16" s="205"/>
      <c r="D16" s="1478"/>
      <c r="E16" s="1478"/>
      <c r="F16" s="1478"/>
      <c r="G16" s="1478"/>
      <c r="H16" s="1478"/>
      <c r="I16" s="1478"/>
      <c r="J16" s="1478"/>
      <c r="K16" s="1478"/>
      <c r="L16" s="1478"/>
      <c r="M16" s="1478"/>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8"/>
      <c r="AJ16" s="1478"/>
      <c r="AK16" s="1478"/>
      <c r="AL16" s="455"/>
    </row>
    <row r="17" spans="1:38">
      <c r="A17" s="204"/>
      <c r="B17" s="204"/>
      <c r="C17" s="205"/>
      <c r="D17" s="1478"/>
      <c r="E17" s="1478"/>
      <c r="F17" s="1478"/>
      <c r="G17" s="1478"/>
      <c r="H17" s="1478"/>
      <c r="I17" s="1478"/>
      <c r="J17" s="1478"/>
      <c r="K17" s="1478"/>
      <c r="L17" s="1478"/>
      <c r="M17" s="1478"/>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c r="AL17" s="455"/>
    </row>
    <row r="18" spans="1:38">
      <c r="A18" s="204"/>
      <c r="B18" s="204"/>
      <c r="C18" s="205"/>
      <c r="D18" s="519" t="s">
        <v>2525</v>
      </c>
      <c r="E18" s="441"/>
      <c r="G18" s="441"/>
      <c r="H18" s="441"/>
      <c r="I18" s="441"/>
      <c r="J18" s="1809" t="s">
        <v>2524</v>
      </c>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78" t="s">
        <v>1993</v>
      </c>
      <c r="E20" s="1478"/>
      <c r="F20" s="1478"/>
      <c r="G20" s="1478"/>
      <c r="H20" s="1478"/>
      <c r="I20" s="1478"/>
      <c r="J20" s="1478"/>
      <c r="K20" s="1478"/>
      <c r="L20" s="1478"/>
      <c r="M20" s="1478"/>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c r="AL20" s="204"/>
    </row>
    <row r="21" spans="1:38">
      <c r="A21" s="204"/>
      <c r="B21" s="204"/>
      <c r="C21" s="205"/>
      <c r="D21" s="1478"/>
      <c r="E21" s="1478"/>
      <c r="F21" s="1478"/>
      <c r="G21" s="1478"/>
      <c r="H21" s="1478"/>
      <c r="I21" s="1478"/>
      <c r="J21" s="1478"/>
      <c r="K21" s="1478"/>
      <c r="L21" s="1478"/>
      <c r="M21" s="1478"/>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c r="AL21" s="204"/>
    </row>
    <row r="22" spans="1:38">
      <c r="A22" s="204"/>
      <c r="B22" s="204"/>
      <c r="C22" s="205"/>
      <c r="D22" s="1478"/>
      <c r="E22" s="1478"/>
      <c r="F22" s="1478"/>
      <c r="G22" s="1478"/>
      <c r="H22" s="1478"/>
      <c r="I22" s="1478"/>
      <c r="J22" s="1478"/>
      <c r="K22" s="1478"/>
      <c r="L22" s="1478"/>
      <c r="M22" s="1478"/>
      <c r="N22" s="1478"/>
      <c r="O22" s="1478"/>
      <c r="P22" s="1478"/>
      <c r="Q22" s="1478"/>
      <c r="R22" s="1478"/>
      <c r="S22" s="1478"/>
      <c r="T22" s="1478"/>
      <c r="U22" s="1478"/>
      <c r="V22" s="1478"/>
      <c r="W22" s="1478"/>
      <c r="X22" s="1478"/>
      <c r="Y22" s="1478"/>
      <c r="Z22" s="1478"/>
      <c r="AA22" s="1478"/>
      <c r="AB22" s="1478"/>
      <c r="AC22" s="1478"/>
      <c r="AD22" s="1478"/>
      <c r="AE22" s="1478"/>
      <c r="AF22" s="1478"/>
      <c r="AG22" s="1478"/>
      <c r="AH22" s="1478"/>
      <c r="AI22" s="1478"/>
      <c r="AJ22" s="1478"/>
      <c r="AK22" s="1478"/>
      <c r="AL22" s="204"/>
    </row>
    <row r="23" spans="1:38" ht="13.15" customHeight="1">
      <c r="A23" s="204"/>
      <c r="B23" s="204"/>
      <c r="C23" s="205"/>
      <c r="D23" s="1478"/>
      <c r="E23" s="1478"/>
      <c r="F23" s="1478"/>
      <c r="G23" s="1478"/>
      <c r="H23" s="1478"/>
      <c r="I23" s="1478"/>
      <c r="J23" s="1478"/>
      <c r="K23" s="1478"/>
      <c r="L23" s="1478"/>
      <c r="M23" s="1478"/>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c r="AL23" s="204"/>
    </row>
    <row r="24" spans="1:38">
      <c r="A24" s="204"/>
      <c r="B24" s="204"/>
      <c r="C24" s="205"/>
      <c r="D24" s="1478"/>
      <c r="E24" s="1478"/>
      <c r="F24" s="1478"/>
      <c r="G24" s="1478"/>
      <c r="H24" s="1478"/>
      <c r="I24" s="1478"/>
      <c r="J24" s="1478"/>
      <c r="K24" s="1478"/>
      <c r="L24" s="1478"/>
      <c r="M24" s="1478"/>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c r="AL24" s="204"/>
    </row>
    <row r="25" spans="1:38">
      <c r="A25" s="204"/>
      <c r="B25" s="204"/>
      <c r="C25" s="205"/>
      <c r="D25" s="1478"/>
      <c r="E25" s="1478"/>
      <c r="F25" s="1478"/>
      <c r="G25" s="1478"/>
      <c r="H25" s="1478"/>
      <c r="I25" s="1478"/>
      <c r="J25" s="1478"/>
      <c r="K25" s="1478"/>
      <c r="L25" s="1478"/>
      <c r="M25" s="1478"/>
      <c r="N25" s="1478"/>
      <c r="O25" s="1478"/>
      <c r="P25" s="1478"/>
      <c r="Q25" s="1478"/>
      <c r="R25" s="1478"/>
      <c r="S25" s="1478"/>
      <c r="T25" s="1478"/>
      <c r="U25" s="1478"/>
      <c r="V25" s="1478"/>
      <c r="W25" s="1478"/>
      <c r="X25" s="1478"/>
      <c r="Y25" s="1478"/>
      <c r="Z25" s="1478"/>
      <c r="AA25" s="1478"/>
      <c r="AB25" s="1478"/>
      <c r="AC25" s="1478"/>
      <c r="AD25" s="1478"/>
      <c r="AE25" s="1478"/>
      <c r="AF25" s="1478"/>
      <c r="AG25" s="1478"/>
      <c r="AH25" s="1478"/>
      <c r="AI25" s="1478"/>
      <c r="AJ25" s="1478"/>
      <c r="AK25" s="1478"/>
      <c r="AL25" s="204"/>
    </row>
    <row r="26" spans="1:38">
      <c r="A26" s="204"/>
      <c r="B26" s="204"/>
      <c r="C26" s="205"/>
      <c r="D26" s="1478"/>
      <c r="E26" s="1478"/>
      <c r="F26" s="1478"/>
      <c r="G26" s="1478"/>
      <c r="H26" s="1478"/>
      <c r="I26" s="1478"/>
      <c r="J26" s="1478"/>
      <c r="K26" s="1478"/>
      <c r="L26" s="1478"/>
      <c r="M26" s="1478"/>
      <c r="N26" s="1478"/>
      <c r="O26" s="1478"/>
      <c r="P26" s="1478"/>
      <c r="Q26" s="1478"/>
      <c r="R26" s="1478"/>
      <c r="S26" s="1478"/>
      <c r="T26" s="1478"/>
      <c r="U26" s="1478"/>
      <c r="V26" s="1478"/>
      <c r="W26" s="1478"/>
      <c r="X26" s="1478"/>
      <c r="Y26" s="1478"/>
      <c r="Z26" s="1478"/>
      <c r="AA26" s="1478"/>
      <c r="AB26" s="1478"/>
      <c r="AC26" s="1478"/>
      <c r="AD26" s="1478"/>
      <c r="AE26" s="1478"/>
      <c r="AF26" s="1478"/>
      <c r="AG26" s="1478"/>
      <c r="AH26" s="1478"/>
      <c r="AI26" s="1478"/>
      <c r="AJ26" s="1478"/>
      <c r="AK26" s="1478"/>
      <c r="AL26" s="204"/>
    </row>
    <row r="27" spans="1:38">
      <c r="A27" s="204"/>
      <c r="B27" s="204"/>
      <c r="C27" s="205"/>
      <c r="D27" s="1478"/>
      <c r="E27" s="1478"/>
      <c r="F27" s="1478"/>
      <c r="G27" s="1478"/>
      <c r="H27" s="1478"/>
      <c r="I27" s="1478"/>
      <c r="J27" s="1478"/>
      <c r="K27" s="1478"/>
      <c r="L27" s="1478"/>
      <c r="M27" s="1478"/>
      <c r="N27" s="1478"/>
      <c r="O27" s="1478"/>
      <c r="P27" s="1478"/>
      <c r="Q27" s="1478"/>
      <c r="R27" s="1478"/>
      <c r="S27" s="1478"/>
      <c r="T27" s="1478"/>
      <c r="U27" s="1478"/>
      <c r="V27" s="1478"/>
      <c r="W27" s="1478"/>
      <c r="X27" s="1478"/>
      <c r="Y27" s="1478"/>
      <c r="Z27" s="1478"/>
      <c r="AA27" s="1478"/>
      <c r="AB27" s="1478"/>
      <c r="AC27" s="1478"/>
      <c r="AD27" s="1478"/>
      <c r="AE27" s="1478"/>
      <c r="AF27" s="1478"/>
      <c r="AG27" s="1478"/>
      <c r="AH27" s="1478"/>
      <c r="AI27" s="1478"/>
      <c r="AJ27" s="1478"/>
      <c r="AK27" s="1478"/>
      <c r="AL27" s="204"/>
    </row>
    <row r="28" spans="1:38">
      <c r="A28" s="204"/>
      <c r="B28" s="204"/>
      <c r="C28" s="205"/>
      <c r="D28" s="1478"/>
      <c r="E28" s="1478"/>
      <c r="F28" s="1478"/>
      <c r="G28" s="1478"/>
      <c r="H28" s="1478"/>
      <c r="I28" s="1478"/>
      <c r="J28" s="1478"/>
      <c r="K28" s="1478"/>
      <c r="L28" s="1478"/>
      <c r="M28" s="1478"/>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78" t="s">
        <v>1994</v>
      </c>
      <c r="E30" s="1478"/>
      <c r="F30" s="1478"/>
      <c r="G30" s="1478"/>
      <c r="H30" s="1478"/>
      <c r="I30" s="1478"/>
      <c r="J30" s="1478"/>
      <c r="K30" s="1478"/>
      <c r="L30" s="1478"/>
      <c r="M30" s="1478"/>
      <c r="N30" s="1478"/>
      <c r="O30" s="1478"/>
      <c r="P30" s="1478"/>
      <c r="Q30" s="1478"/>
      <c r="R30" s="1478"/>
      <c r="S30" s="1478"/>
      <c r="T30" s="1478"/>
      <c r="U30" s="1478"/>
      <c r="V30" s="1478"/>
      <c r="W30" s="1478"/>
      <c r="X30" s="1478"/>
      <c r="Y30" s="1478"/>
      <c r="Z30" s="1478"/>
      <c r="AA30" s="1478"/>
      <c r="AB30" s="1478"/>
      <c r="AC30" s="1478"/>
      <c r="AD30" s="1478"/>
      <c r="AE30" s="1478"/>
      <c r="AF30" s="1478"/>
      <c r="AG30" s="1478"/>
      <c r="AH30" s="1478"/>
      <c r="AI30" s="1478"/>
      <c r="AJ30" s="1478"/>
      <c r="AK30" s="1478"/>
      <c r="AL30" s="204"/>
    </row>
    <row r="31" spans="1:38">
      <c r="A31" s="204"/>
      <c r="B31" s="204"/>
      <c r="C31" s="205"/>
      <c r="D31" s="455"/>
      <c r="E31" s="1799" t="s">
        <v>2600</v>
      </c>
      <c r="F31" s="1800"/>
      <c r="G31" s="1800"/>
      <c r="H31" s="1800"/>
      <c r="I31" s="1800"/>
      <c r="J31" s="1800"/>
      <c r="K31" s="1800"/>
      <c r="L31" s="1800"/>
      <c r="M31" s="1800"/>
      <c r="N31" s="1800"/>
      <c r="O31" s="1800"/>
      <c r="P31" s="1800"/>
      <c r="Q31" s="1800"/>
      <c r="R31" s="1800"/>
      <c r="S31" s="1800"/>
      <c r="T31" s="1800"/>
      <c r="U31" s="1800"/>
      <c r="V31" s="1800"/>
      <c r="W31" s="1800"/>
      <c r="X31" s="1800"/>
      <c r="Y31" s="1800"/>
      <c r="Z31" s="1800"/>
      <c r="AA31" s="1800"/>
      <c r="AB31" s="1800"/>
      <c r="AC31" s="1800"/>
      <c r="AD31" s="1800"/>
      <c r="AE31" s="1800"/>
      <c r="AF31" s="1800"/>
      <c r="AG31" s="1800"/>
      <c r="AH31" s="1800"/>
      <c r="AI31" s="1800"/>
      <c r="AJ31" s="1800"/>
      <c r="AK31" s="1800"/>
      <c r="AL31" s="204"/>
    </row>
    <row r="32" spans="1:38">
      <c r="A32" s="4"/>
      <c r="C32" s="2"/>
    </row>
    <row r="33" spans="1:38">
      <c r="A33" s="4"/>
      <c r="D33" s="1808" t="s">
        <v>2094</v>
      </c>
      <c r="E33" s="1808"/>
      <c r="F33" s="1808"/>
      <c r="G33" s="1808"/>
      <c r="H33" s="1808"/>
      <c r="I33" s="1808"/>
      <c r="J33" s="1808"/>
      <c r="K33" s="1808"/>
      <c r="L33" s="1808"/>
      <c r="M33" s="1808"/>
      <c r="N33" s="1808"/>
      <c r="O33" s="1808"/>
      <c r="P33" s="1808"/>
      <c r="Q33" s="1808"/>
      <c r="R33" s="1808"/>
      <c r="S33" s="1808"/>
      <c r="T33" s="1808"/>
      <c r="U33" s="1808"/>
      <c r="V33" s="1808"/>
      <c r="W33" s="1808"/>
      <c r="X33" s="1808"/>
      <c r="Y33" s="1808"/>
      <c r="Z33" s="1808"/>
      <c r="AA33" s="1808"/>
      <c r="AB33" s="1808"/>
      <c r="AC33" s="1808"/>
      <c r="AD33" s="1808"/>
      <c r="AE33" s="1808"/>
      <c r="AF33" s="1808"/>
      <c r="AG33" s="1808"/>
      <c r="AH33" s="1808"/>
      <c r="AI33" s="1808"/>
      <c r="AJ33" s="1808"/>
      <c r="AK33" s="1808"/>
    </row>
    <row r="34" spans="1:38">
      <c r="A34" s="4"/>
      <c r="D34" s="1808"/>
      <c r="E34" s="1808"/>
      <c r="F34" s="1808"/>
      <c r="G34" s="1808"/>
      <c r="H34" s="1808"/>
      <c r="I34" s="1808"/>
      <c r="J34" s="1808"/>
      <c r="K34" s="1808"/>
      <c r="L34" s="1808"/>
      <c r="M34" s="1808"/>
      <c r="N34" s="1808"/>
      <c r="O34" s="1808"/>
      <c r="P34" s="1808"/>
      <c r="Q34" s="1808"/>
      <c r="R34" s="1808"/>
      <c r="S34" s="1808"/>
      <c r="T34" s="1808"/>
      <c r="U34" s="1808"/>
      <c r="V34" s="1808"/>
      <c r="W34" s="1808"/>
      <c r="X34" s="1808"/>
      <c r="Y34" s="1808"/>
      <c r="Z34" s="1808"/>
      <c r="AA34" s="1808"/>
      <c r="AB34" s="1808"/>
      <c r="AC34" s="1808"/>
      <c r="AD34" s="1808"/>
      <c r="AE34" s="1808"/>
      <c r="AF34" s="1808"/>
      <c r="AG34" s="1808"/>
      <c r="AH34" s="1808"/>
      <c r="AI34" s="1808"/>
      <c r="AJ34" s="1808"/>
      <c r="AK34" s="1808"/>
    </row>
    <row r="35" spans="1:38">
      <c r="A35" s="4"/>
      <c r="D35" s="120"/>
      <c r="E35" s="1804" t="s">
        <v>2601</v>
      </c>
      <c r="F35" s="1804"/>
      <c r="G35" s="1804"/>
      <c r="H35" s="1804"/>
      <c r="I35" s="1804"/>
      <c r="J35" s="1804"/>
      <c r="K35" s="1804"/>
      <c r="L35" s="1804"/>
      <c r="M35" s="1804"/>
      <c r="N35" s="1804"/>
      <c r="O35" s="1804"/>
      <c r="P35" s="1804"/>
      <c r="Q35" s="1804"/>
      <c r="R35" s="1804"/>
      <c r="S35" s="1804"/>
      <c r="T35" s="1804"/>
      <c r="U35" s="1804"/>
      <c r="V35" s="1804"/>
      <c r="W35" s="1804"/>
      <c r="X35" s="1804"/>
      <c r="Y35" s="1804"/>
      <c r="Z35" s="1804"/>
      <c r="AA35" s="1804"/>
      <c r="AB35" s="1804"/>
      <c r="AC35" s="1804"/>
      <c r="AD35" s="1804"/>
      <c r="AE35" s="1804"/>
      <c r="AF35" s="1804"/>
      <c r="AG35" s="1804"/>
      <c r="AH35" s="1804"/>
      <c r="AI35" s="1804"/>
      <c r="AJ35" s="1804"/>
      <c r="AK35" s="1804"/>
    </row>
    <row r="36" spans="1:38">
      <c r="A36" s="4"/>
      <c r="D36" s="120"/>
      <c r="E36" s="1804" t="s">
        <v>2602</v>
      </c>
      <c r="F36" s="1804"/>
      <c r="G36" s="1804"/>
      <c r="H36" s="1804"/>
      <c r="I36" s="1804"/>
      <c r="J36" s="1804"/>
      <c r="K36" s="1804"/>
      <c r="L36" s="1804"/>
      <c r="M36" s="1804"/>
      <c r="N36" s="1804"/>
      <c r="O36" s="1804"/>
      <c r="P36" s="1804"/>
      <c r="Q36" s="1804"/>
      <c r="R36" s="1804"/>
      <c r="S36" s="1804"/>
      <c r="T36" s="1804"/>
      <c r="U36" s="1804"/>
      <c r="V36" s="1804"/>
      <c r="W36" s="1804"/>
      <c r="X36" s="1804"/>
      <c r="Y36" s="1804"/>
      <c r="Z36" s="1804"/>
      <c r="AA36" s="1804"/>
      <c r="AB36" s="1804"/>
      <c r="AC36" s="1804"/>
      <c r="AD36" s="1804"/>
      <c r="AE36" s="1804"/>
      <c r="AF36" s="1804"/>
      <c r="AG36" s="1804"/>
      <c r="AH36" s="1804"/>
      <c r="AI36" s="1804"/>
      <c r="AJ36" s="1804"/>
      <c r="AK36" s="180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339</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478" customFormat="1" ht="13.15" customHeight="1">
      <c r="A40" s="4"/>
      <c r="B40"/>
      <c r="C40" s="2"/>
      <c r="D40" s="4"/>
      <c r="E40" s="4" t="s">
        <v>651</v>
      </c>
      <c r="F40" s="1478" t="s">
        <v>1162</v>
      </c>
    </row>
    <row r="41" spans="1:38" s="1478" customFormat="1" ht="13.15"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346</v>
      </c>
      <c r="F43" s="1500" t="s">
        <v>1244</v>
      </c>
      <c r="G43" s="1500"/>
      <c r="H43" s="1500"/>
      <c r="I43" s="1500"/>
      <c r="J43" s="1500"/>
      <c r="K43" s="1500"/>
      <c r="L43" s="1500"/>
      <c r="M43" s="1500"/>
      <c r="N43" s="1500"/>
      <c r="O43" s="1500"/>
      <c r="P43" s="1500"/>
      <c r="Q43" s="1500"/>
      <c r="R43" s="1500"/>
      <c r="S43" s="1500"/>
      <c r="T43" s="1500"/>
      <c r="U43" s="1500"/>
      <c r="V43" s="1500"/>
      <c r="W43" s="1500"/>
      <c r="X43" s="1500"/>
      <c r="Y43" s="1500"/>
      <c r="Z43" s="1500"/>
      <c r="AA43" s="1500"/>
      <c r="AB43" s="1500"/>
      <c r="AC43" s="1500"/>
      <c r="AD43" s="1500"/>
      <c r="AE43" s="1500"/>
      <c r="AF43" s="1500"/>
      <c r="AG43" s="1500"/>
      <c r="AH43" s="1500"/>
      <c r="AI43" s="1500"/>
      <c r="AJ43" s="1500"/>
      <c r="AK43" s="1500"/>
      <c r="AL43" s="1500"/>
    </row>
    <row r="44" spans="1:38" s="118" customFormat="1">
      <c r="A44" s="4"/>
      <c r="B44"/>
      <c r="C44" s="2"/>
      <c r="D44" s="4"/>
      <c r="E44" s="4"/>
      <c r="F44" s="1500"/>
      <c r="G44" s="1500"/>
      <c r="H44" s="1500"/>
      <c r="I44" s="1500"/>
      <c r="J44" s="1500"/>
      <c r="K44" s="1500"/>
      <c r="L44" s="1500"/>
      <c r="M44" s="1500"/>
      <c r="N44" s="1500"/>
      <c r="O44" s="1500"/>
      <c r="P44" s="1500"/>
      <c r="Q44" s="1500"/>
      <c r="R44" s="1500"/>
      <c r="S44" s="1500"/>
      <c r="T44" s="1500"/>
      <c r="U44" s="1500"/>
      <c r="V44" s="1500"/>
      <c r="W44" s="1500"/>
      <c r="X44" s="1500"/>
      <c r="Y44" s="1500"/>
      <c r="Z44" s="1500"/>
      <c r="AA44" s="1500"/>
      <c r="AB44" s="1500"/>
      <c r="AC44" s="1500"/>
      <c r="AD44" s="1500"/>
      <c r="AE44" s="1500"/>
      <c r="AF44" s="1500"/>
      <c r="AG44" s="1500"/>
      <c r="AH44" s="1500"/>
      <c r="AI44" s="1500"/>
      <c r="AJ44" s="1500"/>
      <c r="AK44" s="1500"/>
      <c r="AL44" s="1500"/>
    </row>
    <row r="45" spans="1:38" s="118" customFormat="1" ht="13.15" customHeight="1">
      <c r="A45" s="4"/>
      <c r="B45"/>
      <c r="C45" s="2"/>
      <c r="D45" s="4"/>
      <c r="E45" s="4"/>
      <c r="F45" s="1500"/>
      <c r="G45" s="1500"/>
      <c r="H45" s="1500"/>
      <c r="I45" s="1500"/>
      <c r="J45" s="1500"/>
      <c r="K45" s="1500"/>
      <c r="L45" s="1500"/>
      <c r="M45" s="1500"/>
      <c r="N45" s="1500"/>
      <c r="O45" s="1500"/>
      <c r="P45" s="1500"/>
      <c r="Q45" s="1500"/>
      <c r="R45" s="1500"/>
      <c r="S45" s="1500"/>
      <c r="T45" s="1500"/>
      <c r="U45" s="1500"/>
      <c r="V45" s="1500"/>
      <c r="W45" s="1500"/>
      <c r="X45" s="1500"/>
      <c r="Y45" s="1500"/>
      <c r="Z45" s="1500"/>
      <c r="AA45" s="1500"/>
      <c r="AB45" s="1500"/>
      <c r="AC45" s="1500"/>
      <c r="AD45" s="1500"/>
      <c r="AE45" s="1500"/>
      <c r="AF45" s="1500"/>
      <c r="AG45" s="1500"/>
      <c r="AH45" s="1500"/>
      <c r="AI45" s="1500"/>
      <c r="AJ45" s="1500"/>
      <c r="AK45" s="1500"/>
      <c r="AL45" s="1500"/>
    </row>
    <row r="46" spans="1:38">
      <c r="A46" s="4"/>
      <c r="C46" s="2"/>
      <c r="D46" s="4"/>
      <c r="E46" s="4"/>
      <c r="F46" s="118" t="s">
        <v>685</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c r="A48" s="4"/>
      <c r="C48" s="2"/>
      <c r="D48" s="4"/>
      <c r="E48" s="3" t="s">
        <v>347</v>
      </c>
      <c r="F48" s="1478" t="s">
        <v>1996</v>
      </c>
      <c r="G48" s="1478"/>
      <c r="H48" s="1478"/>
      <c r="I48" s="1478"/>
      <c r="J48" s="1478"/>
      <c r="K48" s="1478"/>
      <c r="L48" s="1478"/>
      <c r="M48" s="1478"/>
      <c r="N48" s="1478"/>
      <c r="O48" s="1478"/>
      <c r="P48" s="1478"/>
      <c r="Q48" s="1478"/>
      <c r="R48" s="1478"/>
      <c r="S48" s="1478"/>
      <c r="T48" s="1478"/>
      <c r="U48" s="1478"/>
      <c r="V48" s="1478"/>
      <c r="W48" s="1478"/>
      <c r="X48" s="1478"/>
      <c r="Y48" s="1478"/>
      <c r="Z48" s="1478"/>
      <c r="AA48" s="1478"/>
      <c r="AB48" s="1478"/>
      <c r="AC48" s="1478"/>
      <c r="AD48" s="1478"/>
      <c r="AE48" s="1478"/>
      <c r="AF48" s="1478"/>
      <c r="AG48" s="1478"/>
      <c r="AH48" s="1478"/>
      <c r="AI48" s="1478"/>
      <c r="AJ48" s="1478"/>
      <c r="AK48" s="1478"/>
    </row>
    <row r="49" spans="1:38">
      <c r="A49" s="4"/>
      <c r="C49" s="2"/>
      <c r="D49" s="4"/>
      <c r="E49" s="4"/>
      <c r="F49" s="1478"/>
      <c r="G49" s="1478"/>
      <c r="H49" s="1478"/>
      <c r="I49" s="1478"/>
      <c r="J49" s="1478"/>
      <c r="K49" s="1478"/>
      <c r="L49" s="1478"/>
      <c r="M49" s="1478"/>
      <c r="N49" s="1478"/>
      <c r="O49" s="1478"/>
      <c r="P49" s="1478"/>
      <c r="Q49" s="1478"/>
      <c r="R49" s="1478"/>
      <c r="S49" s="1478"/>
      <c r="T49" s="1478"/>
      <c r="U49" s="1478"/>
      <c r="V49" s="1478"/>
      <c r="W49" s="1478"/>
      <c r="X49" s="1478"/>
      <c r="Y49" s="1478"/>
      <c r="Z49" s="1478"/>
      <c r="AA49" s="1478"/>
      <c r="AB49" s="1478"/>
      <c r="AC49" s="1478"/>
      <c r="AD49" s="1478"/>
      <c r="AE49" s="1478"/>
      <c r="AF49" s="1478"/>
      <c r="AG49" s="1478"/>
      <c r="AH49" s="1478"/>
      <c r="AI49" s="1478"/>
      <c r="AJ49" s="1478"/>
      <c r="AK49" s="1478"/>
    </row>
    <row r="50" spans="1:38">
      <c r="A50" s="4"/>
      <c r="C50" s="2"/>
      <c r="D50" s="4"/>
      <c r="F50" s="1478"/>
      <c r="G50" s="1478"/>
      <c r="H50" s="1478"/>
      <c r="I50" s="1478"/>
      <c r="J50" s="1478"/>
      <c r="K50" s="1478"/>
      <c r="L50" s="1478"/>
      <c r="M50" s="1478"/>
      <c r="N50" s="1478"/>
      <c r="O50" s="1478"/>
      <c r="P50" s="1478"/>
      <c r="Q50" s="1478"/>
      <c r="R50" s="1478"/>
      <c r="S50" s="1478"/>
      <c r="T50" s="1478"/>
      <c r="U50" s="1478"/>
      <c r="V50" s="1478"/>
      <c r="W50" s="1478"/>
      <c r="X50" s="1478"/>
      <c r="Y50" s="1478"/>
      <c r="Z50" s="1478"/>
      <c r="AA50" s="1478"/>
      <c r="AB50" s="1478"/>
      <c r="AC50" s="1478"/>
      <c r="AD50" s="1478"/>
      <c r="AE50" s="1478"/>
      <c r="AF50" s="1478"/>
      <c r="AG50" s="1478"/>
      <c r="AH50" s="1478"/>
      <c r="AI50" s="1478"/>
      <c r="AJ50" s="1478"/>
      <c r="AK50" s="147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803" t="s">
        <v>1189</v>
      </c>
      <c r="H54" s="1803"/>
      <c r="I54" s="1803"/>
      <c r="J54" s="1803"/>
      <c r="K54" s="1803"/>
      <c r="L54" s="1803"/>
      <c r="M54" s="1803"/>
      <c r="N54" s="1803"/>
      <c r="O54" s="1803"/>
      <c r="P54" s="1803"/>
      <c r="Q54" s="1803"/>
      <c r="R54" s="1803"/>
      <c r="S54" s="1803"/>
      <c r="T54" s="1803"/>
      <c r="U54" s="1803"/>
      <c r="V54" s="1803"/>
      <c r="W54" s="1803"/>
      <c r="X54" s="1803"/>
      <c r="Y54" s="1803"/>
      <c r="Z54" s="1803"/>
      <c r="AA54" s="1803"/>
      <c r="AB54" s="1803"/>
      <c r="AC54" s="1803"/>
      <c r="AD54" s="1803"/>
      <c r="AE54" s="1803"/>
      <c r="AF54" s="1803"/>
      <c r="AG54" s="1803"/>
      <c r="AH54" s="1803"/>
      <c r="AI54" s="1803"/>
      <c r="AJ54" s="1803"/>
      <c r="AK54" s="1803"/>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3" t="s">
        <v>573</v>
      </c>
      <c r="H56" s="1803"/>
      <c r="I56" s="180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507</v>
      </c>
      <c r="G57" s="1803" t="s">
        <v>1997</v>
      </c>
      <c r="H57" s="1803"/>
      <c r="I57" s="1803"/>
      <c r="J57" s="1803"/>
      <c r="K57" s="1803"/>
      <c r="L57" s="1803"/>
      <c r="M57" s="1803"/>
      <c r="N57" s="1803"/>
      <c r="O57" s="1803"/>
      <c r="P57" s="1803"/>
      <c r="Q57" s="1803"/>
      <c r="R57" s="1803"/>
      <c r="S57" s="1803"/>
      <c r="T57" s="1803"/>
      <c r="U57" s="1803"/>
      <c r="V57" s="1803"/>
      <c r="W57" s="1803"/>
      <c r="X57" s="1803"/>
      <c r="Y57" s="1803"/>
      <c r="Z57" s="1803"/>
      <c r="AA57" s="1803"/>
      <c r="AB57" s="1803"/>
      <c r="AC57" s="1803"/>
      <c r="AD57" s="1803"/>
      <c r="AE57" s="1803"/>
      <c r="AF57" s="1803"/>
      <c r="AG57" s="1803"/>
      <c r="AH57" s="1803"/>
      <c r="AI57" s="1803"/>
      <c r="AJ57" s="1803"/>
      <c r="AK57" s="1803"/>
      <c r="AL57" s="1803"/>
    </row>
    <row r="58" spans="1:38">
      <c r="A58" s="204"/>
      <c r="B58" s="204"/>
      <c r="C58" s="205"/>
      <c r="D58" s="205"/>
      <c r="E58" s="204"/>
      <c r="F58" s="206"/>
      <c r="G58" s="1803"/>
      <c r="H58" s="1803"/>
      <c r="I58" s="1803"/>
      <c r="J58" s="1803"/>
      <c r="K58" s="1803"/>
      <c r="L58" s="1803"/>
      <c r="M58" s="1803"/>
      <c r="N58" s="1803"/>
      <c r="O58" s="1803"/>
      <c r="P58" s="1803"/>
      <c r="Q58" s="1803"/>
      <c r="R58" s="1803"/>
      <c r="S58" s="1803"/>
      <c r="T58" s="1803"/>
      <c r="U58" s="1803"/>
      <c r="V58" s="1803"/>
      <c r="W58" s="1803"/>
      <c r="X58" s="1803"/>
      <c r="Y58" s="1803"/>
      <c r="Z58" s="1803"/>
      <c r="AA58" s="1803"/>
      <c r="AB58" s="1803"/>
      <c r="AC58" s="1803"/>
      <c r="AD58" s="1803"/>
      <c r="AE58" s="1803"/>
      <c r="AF58" s="1803"/>
      <c r="AG58" s="1803"/>
      <c r="AH58" s="1803"/>
      <c r="AI58" s="1803"/>
      <c r="AJ58" s="1803"/>
      <c r="AK58" s="1803"/>
      <c r="AL58" s="1803"/>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478" t="s">
        <v>1164</v>
      </c>
      <c r="H64" s="1478"/>
      <c r="I64" s="1478"/>
      <c r="J64" s="1478"/>
      <c r="K64" s="1478"/>
      <c r="L64" s="1478"/>
      <c r="M64" s="1478"/>
      <c r="N64" s="1478"/>
      <c r="O64" s="1478"/>
      <c r="P64" s="1478"/>
      <c r="Q64" s="1478"/>
      <c r="R64" s="1478"/>
      <c r="S64" s="1478"/>
      <c r="T64" s="1478"/>
      <c r="U64" s="1478"/>
      <c r="V64" s="1478"/>
      <c r="W64" s="1478"/>
      <c r="X64" s="1478"/>
      <c r="Y64" s="1478"/>
      <c r="Z64" s="1478"/>
      <c r="AA64" s="1478"/>
      <c r="AB64" s="1478"/>
      <c r="AC64" s="1478"/>
      <c r="AD64" s="1478"/>
      <c r="AE64" s="1478"/>
      <c r="AF64" s="1478"/>
      <c r="AG64" s="1478"/>
      <c r="AH64" s="1478"/>
      <c r="AI64" s="1478"/>
      <c r="AJ64" s="1478"/>
      <c r="AK64" s="1478"/>
    </row>
    <row r="65" spans="1:37">
      <c r="A65" s="4"/>
      <c r="C65" s="2"/>
      <c r="D65" s="4"/>
      <c r="E65" s="4"/>
      <c r="G65" s="1478"/>
      <c r="H65" s="1478"/>
      <c r="I65" s="1478"/>
      <c r="J65" s="1478"/>
      <c r="K65" s="1478"/>
      <c r="L65" s="1478"/>
      <c r="M65" s="1478"/>
      <c r="N65" s="1478"/>
      <c r="O65" s="1478"/>
      <c r="P65" s="1478"/>
      <c r="Q65" s="1478"/>
      <c r="R65" s="1478"/>
      <c r="S65" s="1478"/>
      <c r="T65" s="1478"/>
      <c r="U65" s="1478"/>
      <c r="V65" s="1478"/>
      <c r="W65" s="1478"/>
      <c r="X65" s="1478"/>
      <c r="Y65" s="1478"/>
      <c r="Z65" s="1478"/>
      <c r="AA65" s="1478"/>
      <c r="AB65" s="1478"/>
      <c r="AC65" s="1478"/>
      <c r="AD65" s="1478"/>
      <c r="AE65" s="1478"/>
      <c r="AF65" s="1478"/>
      <c r="AG65" s="1478"/>
      <c r="AH65" s="1478"/>
      <c r="AI65" s="1478"/>
      <c r="AJ65" s="1478"/>
      <c r="AK65" s="1478"/>
    </row>
    <row r="66" spans="1:37">
      <c r="A66" s="4"/>
      <c r="C66" s="2"/>
      <c r="D66" s="4"/>
      <c r="E66" s="4"/>
      <c r="G66" s="1478"/>
      <c r="H66" s="1478"/>
      <c r="I66" s="1478"/>
      <c r="J66" s="1478"/>
      <c r="K66" s="1478"/>
      <c r="L66" s="1478"/>
      <c r="M66" s="1478"/>
      <c r="N66" s="1478"/>
      <c r="O66" s="1478"/>
      <c r="P66" s="1478"/>
      <c r="Q66" s="1478"/>
      <c r="R66" s="1478"/>
      <c r="S66" s="1478"/>
      <c r="T66" s="1478"/>
      <c r="U66" s="1478"/>
      <c r="V66" s="1478"/>
      <c r="W66" s="1478"/>
      <c r="X66" s="1478"/>
      <c r="Y66" s="1478"/>
      <c r="Z66" s="1478"/>
      <c r="AA66" s="1478"/>
      <c r="AB66" s="1478"/>
      <c r="AC66" s="1478"/>
      <c r="AD66" s="1478"/>
      <c r="AE66" s="1478"/>
      <c r="AF66" s="1478"/>
      <c r="AG66" s="1478"/>
      <c r="AH66" s="1478"/>
      <c r="AI66" s="1478"/>
      <c r="AJ66" s="1478"/>
      <c r="AK66" s="1478"/>
    </row>
    <row r="67" spans="1:37" ht="13.15" customHeight="1">
      <c r="A67" s="4"/>
      <c r="C67" s="2"/>
      <c r="D67" s="4"/>
      <c r="E67" s="4"/>
      <c r="F67" t="s">
        <v>507</v>
      </c>
      <c r="G67" s="1478" t="s">
        <v>1165</v>
      </c>
      <c r="H67" s="1478"/>
      <c r="I67" s="1478"/>
      <c r="J67" s="1478"/>
      <c r="K67" s="1478"/>
      <c r="L67" s="1478"/>
      <c r="M67" s="1478"/>
      <c r="N67" s="1478"/>
      <c r="O67" s="1478"/>
      <c r="P67" s="1478"/>
      <c r="Q67" s="1478"/>
      <c r="R67" s="1478"/>
      <c r="S67" s="1478"/>
      <c r="T67" s="1478"/>
      <c r="U67" s="1478"/>
      <c r="V67" s="1478"/>
      <c r="W67" s="1478"/>
      <c r="X67" s="1478"/>
      <c r="Y67" s="1478"/>
      <c r="Z67" s="1478"/>
      <c r="AA67" s="1478"/>
      <c r="AB67" s="1478"/>
      <c r="AC67" s="1478"/>
      <c r="AD67" s="1478"/>
      <c r="AE67" s="1478"/>
      <c r="AF67" s="1478"/>
      <c r="AG67" s="1478"/>
      <c r="AH67" s="1478"/>
      <c r="AI67" s="1478"/>
      <c r="AJ67" s="1478"/>
      <c r="AK67" s="1478"/>
    </row>
    <row r="68" spans="1:37">
      <c r="A68" s="4"/>
      <c r="C68" s="2"/>
      <c r="D68" s="4"/>
      <c r="E68" s="4"/>
      <c r="F68" s="27"/>
      <c r="G68" s="1478"/>
      <c r="H68" s="1478"/>
      <c r="I68" s="1478"/>
      <c r="J68" s="1478"/>
      <c r="K68" s="1478"/>
      <c r="L68" s="1478"/>
      <c r="M68" s="1478"/>
      <c r="N68" s="1478"/>
      <c r="O68" s="1478"/>
      <c r="P68" s="1478"/>
      <c r="Q68" s="1478"/>
      <c r="R68" s="1478"/>
      <c r="S68" s="1478"/>
      <c r="T68" s="1478"/>
      <c r="U68" s="1478"/>
      <c r="V68" s="1478"/>
      <c r="W68" s="1478"/>
      <c r="X68" s="1478"/>
      <c r="Y68" s="1478"/>
      <c r="Z68" s="1478"/>
      <c r="AA68" s="1478"/>
      <c r="AB68" s="1478"/>
      <c r="AC68" s="1478"/>
      <c r="AD68" s="1478"/>
      <c r="AE68" s="1478"/>
      <c r="AF68" s="1478"/>
      <c r="AG68" s="1478"/>
      <c r="AH68" s="1478"/>
      <c r="AI68" s="1478"/>
      <c r="AJ68" s="1478"/>
      <c r="AK68" s="1478"/>
    </row>
    <row r="69" spans="1:37">
      <c r="A69" s="4"/>
      <c r="C69" s="2"/>
      <c r="D69" s="4"/>
      <c r="E69" s="4" t="s">
        <v>346</v>
      </c>
      <c r="F69" s="4" t="s">
        <v>419</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478" t="s">
        <v>1166</v>
      </c>
      <c r="H70" s="1478"/>
      <c r="I70" s="1478"/>
      <c r="J70" s="1478"/>
      <c r="K70" s="1478"/>
      <c r="L70" s="1478"/>
      <c r="M70" s="1478"/>
      <c r="N70" s="1478"/>
      <c r="O70" s="1478"/>
      <c r="P70" s="1478"/>
      <c r="Q70" s="1478"/>
      <c r="R70" s="1478"/>
      <c r="S70" s="1478"/>
      <c r="T70" s="1478"/>
      <c r="U70" s="1478"/>
      <c r="V70" s="1478"/>
      <c r="W70" s="1478"/>
      <c r="X70" s="1478"/>
      <c r="Y70" s="1478"/>
      <c r="Z70" s="1478"/>
      <c r="AA70" s="1478"/>
      <c r="AB70" s="1478"/>
      <c r="AC70" s="1478"/>
      <c r="AD70" s="1478"/>
      <c r="AE70" s="1478"/>
      <c r="AF70" s="1478"/>
      <c r="AG70" s="1478"/>
      <c r="AH70" s="1478"/>
      <c r="AI70" s="1478"/>
      <c r="AJ70" s="1478"/>
      <c r="AK70" s="1478"/>
    </row>
    <row r="71" spans="1:37">
      <c r="A71" s="4"/>
      <c r="C71" s="2"/>
      <c r="D71" s="4"/>
      <c r="E71" s="4"/>
      <c r="F71" s="8"/>
      <c r="G71" s="1478"/>
      <c r="H71" s="1478"/>
      <c r="I71" s="1478"/>
      <c r="J71" s="1478"/>
      <c r="K71" s="1478"/>
      <c r="L71" s="1478"/>
      <c r="M71" s="1478"/>
      <c r="N71" s="1478"/>
      <c r="O71" s="1478"/>
      <c r="P71" s="1478"/>
      <c r="Q71" s="1478"/>
      <c r="R71" s="1478"/>
      <c r="S71" s="1478"/>
      <c r="T71" s="1478"/>
      <c r="U71" s="1478"/>
      <c r="V71" s="1478"/>
      <c r="W71" s="1478"/>
      <c r="X71" s="1478"/>
      <c r="Y71" s="1478"/>
      <c r="Z71" s="1478"/>
      <c r="AA71" s="1478"/>
      <c r="AB71" s="1478"/>
      <c r="AC71" s="1478"/>
      <c r="AD71" s="1478"/>
      <c r="AE71" s="1478"/>
      <c r="AF71" s="1478"/>
      <c r="AG71" s="1478"/>
      <c r="AH71" s="1478"/>
      <c r="AI71" s="1478"/>
      <c r="AJ71" s="1478"/>
      <c r="AK71" s="1478"/>
    </row>
    <row r="72" spans="1:37">
      <c r="A72" s="4"/>
      <c r="C72" s="2"/>
      <c r="D72" s="4"/>
      <c r="E72" s="4"/>
      <c r="F72" s="8" t="s">
        <v>507</v>
      </c>
      <c r="G72" s="1478" t="s">
        <v>1167</v>
      </c>
      <c r="H72" s="1478"/>
      <c r="I72" s="1478"/>
      <c r="J72" s="1478"/>
      <c r="K72" s="1478"/>
      <c r="L72" s="1478"/>
      <c r="M72" s="1478"/>
      <c r="N72" s="1478"/>
      <c r="O72" s="1478"/>
      <c r="P72" s="1478"/>
      <c r="Q72" s="1478"/>
      <c r="R72" s="1478"/>
      <c r="S72" s="1478"/>
      <c r="T72" s="1478"/>
      <c r="U72" s="1478"/>
      <c r="V72" s="1478"/>
      <c r="W72" s="1478"/>
      <c r="X72" s="1478"/>
      <c r="Y72" s="1478"/>
      <c r="Z72" s="1478"/>
      <c r="AA72" s="1478"/>
      <c r="AB72" s="1478"/>
      <c r="AC72" s="1478"/>
      <c r="AD72" s="1478"/>
      <c r="AE72" s="1478"/>
      <c r="AF72" s="1478"/>
      <c r="AG72" s="1478"/>
      <c r="AH72" s="1478"/>
      <c r="AI72" s="1478"/>
      <c r="AJ72" s="1478"/>
      <c r="AK72" s="1478"/>
    </row>
    <row r="73" spans="1:37">
      <c r="A73" s="4"/>
      <c r="C73" s="2"/>
      <c r="D73" s="4"/>
      <c r="E73" s="4"/>
      <c r="F73" s="8"/>
      <c r="G73" s="1478"/>
      <c r="H73" s="1478"/>
      <c r="I73" s="1478"/>
      <c r="J73" s="1478"/>
      <c r="K73" s="1478"/>
      <c r="L73" s="1478"/>
      <c r="M73" s="1478"/>
      <c r="N73" s="1478"/>
      <c r="O73" s="1478"/>
      <c r="P73" s="1478"/>
      <c r="Q73" s="1478"/>
      <c r="R73" s="1478"/>
      <c r="S73" s="1478"/>
      <c r="T73" s="1478"/>
      <c r="U73" s="1478"/>
      <c r="V73" s="1478"/>
      <c r="W73" s="1478"/>
      <c r="X73" s="1478"/>
      <c r="Y73" s="1478"/>
      <c r="Z73" s="1478"/>
      <c r="AA73" s="1478"/>
      <c r="AB73" s="1478"/>
      <c r="AC73" s="1478"/>
      <c r="AD73" s="1478"/>
      <c r="AE73" s="1478"/>
      <c r="AF73" s="1478"/>
      <c r="AG73" s="1478"/>
      <c r="AH73" s="1478"/>
      <c r="AI73" s="1478"/>
      <c r="AJ73" s="1478"/>
      <c r="AK73" s="1478"/>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505</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347</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78" t="s">
        <v>1168</v>
      </c>
      <c r="H80" s="1478"/>
      <c r="I80" s="1478"/>
      <c r="J80" s="1478"/>
      <c r="K80" s="1478"/>
      <c r="L80" s="1478"/>
      <c r="M80" s="1478"/>
      <c r="N80" s="1478"/>
      <c r="O80" s="1478"/>
      <c r="P80" s="1478"/>
      <c r="Q80" s="1478"/>
      <c r="R80" s="1478"/>
      <c r="S80" s="1478"/>
      <c r="T80" s="1478"/>
      <c r="U80" s="1478"/>
      <c r="V80" s="1478"/>
      <c r="W80" s="1478"/>
      <c r="X80" s="1478"/>
      <c r="Y80" s="1478"/>
      <c r="Z80" s="1478"/>
      <c r="AA80" s="1478"/>
      <c r="AB80" s="1478"/>
      <c r="AC80" s="1478"/>
      <c r="AD80" s="1478"/>
      <c r="AE80" s="1478"/>
      <c r="AF80" s="1478"/>
      <c r="AG80" s="1478"/>
      <c r="AH80" s="1478"/>
      <c r="AI80" s="1478"/>
      <c r="AJ80" s="1478"/>
      <c r="AK80" s="1478"/>
    </row>
    <row r="81" spans="1:37">
      <c r="A81" s="4"/>
      <c r="C81" s="2"/>
      <c r="D81" s="4"/>
      <c r="E81" s="4"/>
      <c r="F81" s="4"/>
      <c r="G81" s="1478"/>
      <c r="H81" s="1478"/>
      <c r="I81" s="1478"/>
      <c r="J81" s="1478"/>
      <c r="K81" s="1478"/>
      <c r="L81" s="1478"/>
      <c r="M81" s="1478"/>
      <c r="N81" s="1478"/>
      <c r="O81" s="1478"/>
      <c r="P81" s="1478"/>
      <c r="Q81" s="1478"/>
      <c r="R81" s="1478"/>
      <c r="S81" s="1478"/>
      <c r="T81" s="1478"/>
      <c r="U81" s="1478"/>
      <c r="V81" s="1478"/>
      <c r="W81" s="1478"/>
      <c r="X81" s="1478"/>
      <c r="Y81" s="1478"/>
      <c r="Z81" s="1478"/>
      <c r="AA81" s="1478"/>
      <c r="AB81" s="1478"/>
      <c r="AC81" s="1478"/>
      <c r="AD81" s="1478"/>
      <c r="AE81" s="1478"/>
      <c r="AF81" s="1478"/>
      <c r="AG81" s="1478"/>
      <c r="AH81" s="1478"/>
      <c r="AI81" s="1478"/>
      <c r="AJ81" s="1478"/>
      <c r="AK81" s="1478"/>
    </row>
    <row r="82" spans="1:37">
      <c r="A82" s="4"/>
      <c r="C82" s="2"/>
      <c r="D82" s="4"/>
      <c r="E82" s="4"/>
      <c r="F82" s="4"/>
      <c r="G82" s="1478"/>
      <c r="H82" s="1478"/>
      <c r="I82" s="1478"/>
      <c r="J82" s="1478"/>
      <c r="K82" s="1478"/>
      <c r="L82" s="1478"/>
      <c r="M82" s="1478"/>
      <c r="N82" s="1478"/>
      <c r="O82" s="1478"/>
      <c r="P82" s="1478"/>
      <c r="Q82" s="1478"/>
      <c r="R82" s="1478"/>
      <c r="S82" s="1478"/>
      <c r="T82" s="1478"/>
      <c r="U82" s="1478"/>
      <c r="V82" s="1478"/>
      <c r="W82" s="1478"/>
      <c r="X82" s="1478"/>
      <c r="Y82" s="1478"/>
      <c r="Z82" s="1478"/>
      <c r="AA82" s="1478"/>
      <c r="AB82" s="1478"/>
      <c r="AC82" s="1478"/>
      <c r="AD82" s="1478"/>
      <c r="AE82" s="1478"/>
      <c r="AF82" s="1478"/>
      <c r="AG82" s="1478"/>
      <c r="AH82" s="1478"/>
      <c r="AI82" s="1478"/>
      <c r="AJ82" s="1478"/>
      <c r="AK82" s="1478"/>
    </row>
    <row r="83" spans="1:37">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78" t="s">
        <v>1169</v>
      </c>
      <c r="H84" s="1478"/>
      <c r="I84" s="1478"/>
      <c r="J84" s="1478"/>
      <c r="K84" s="1478"/>
      <c r="L84" s="1478"/>
      <c r="M84" s="1478"/>
      <c r="N84" s="1478"/>
      <c r="O84" s="1478"/>
      <c r="P84" s="1478"/>
      <c r="Q84" s="1478"/>
      <c r="R84" s="1478"/>
      <c r="S84" s="1478"/>
      <c r="T84" s="1478"/>
      <c r="U84" s="1478"/>
      <c r="V84" s="1478"/>
      <c r="W84" s="1478"/>
      <c r="X84" s="1478"/>
      <c r="Y84" s="1478"/>
      <c r="Z84" s="1478"/>
      <c r="AA84" s="1478"/>
      <c r="AB84" s="1478"/>
      <c r="AC84" s="1478"/>
      <c r="AD84" s="1478"/>
      <c r="AE84" s="1478"/>
      <c r="AF84" s="1478"/>
      <c r="AG84" s="1478"/>
      <c r="AH84" s="1478"/>
      <c r="AI84" s="1478"/>
      <c r="AJ84" s="1478"/>
      <c r="AK84" s="1478"/>
    </row>
    <row r="85" spans="1:37">
      <c r="A85" s="4"/>
      <c r="C85" s="2"/>
      <c r="D85" s="4"/>
      <c r="E85" s="4"/>
      <c r="F85" s="4"/>
      <c r="G85" s="1478"/>
      <c r="H85" s="1478"/>
      <c r="I85" s="1478"/>
      <c r="J85" s="1478"/>
      <c r="K85" s="1478"/>
      <c r="L85" s="1478"/>
      <c r="M85" s="1478"/>
      <c r="N85" s="1478"/>
      <c r="O85" s="1478"/>
      <c r="P85" s="1478"/>
      <c r="Q85" s="1478"/>
      <c r="R85" s="1478"/>
      <c r="S85" s="1478"/>
      <c r="T85" s="1478"/>
      <c r="U85" s="1478"/>
      <c r="V85" s="1478"/>
      <c r="W85" s="1478"/>
      <c r="X85" s="1478"/>
      <c r="Y85" s="1478"/>
      <c r="Z85" s="1478"/>
      <c r="AA85" s="1478"/>
      <c r="AB85" s="1478"/>
      <c r="AC85" s="1478"/>
      <c r="AD85" s="1478"/>
      <c r="AE85" s="1478"/>
      <c r="AF85" s="1478"/>
      <c r="AG85" s="1478"/>
      <c r="AH85" s="1478"/>
      <c r="AI85" s="1478"/>
      <c r="AJ85" s="1478"/>
      <c r="AK85" s="1478"/>
    </row>
    <row r="86" spans="1:37">
      <c r="A86" s="4"/>
      <c r="C86" s="2"/>
      <c r="D86" s="4"/>
      <c r="E86" s="4"/>
      <c r="G86" s="1478"/>
      <c r="H86" s="1478"/>
      <c r="I86" s="1478"/>
      <c r="J86" s="1478"/>
      <c r="K86" s="1478"/>
      <c r="L86" s="1478"/>
      <c r="M86" s="1478"/>
      <c r="N86" s="1478"/>
      <c r="O86" s="1478"/>
      <c r="P86" s="1478"/>
      <c r="Q86" s="1478"/>
      <c r="R86" s="1478"/>
      <c r="S86" s="1478"/>
      <c r="T86" s="1478"/>
      <c r="U86" s="1478"/>
      <c r="V86" s="1478"/>
      <c r="W86" s="1478"/>
      <c r="X86" s="1478"/>
      <c r="Y86" s="1478"/>
      <c r="Z86" s="1478"/>
      <c r="AA86" s="1478"/>
      <c r="AB86" s="1478"/>
      <c r="AC86" s="1478"/>
      <c r="AD86" s="1478"/>
      <c r="AE86" s="1478"/>
      <c r="AF86" s="1478"/>
      <c r="AG86" s="1478"/>
      <c r="AH86" s="1478"/>
      <c r="AI86" s="1478"/>
      <c r="AJ86" s="1478"/>
      <c r="AK86" s="1478"/>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801" t="s">
        <v>1170</v>
      </c>
      <c r="H88" s="1801"/>
      <c r="I88" s="1801"/>
      <c r="J88" s="1801"/>
      <c r="K88" s="1801"/>
      <c r="L88" s="1801"/>
      <c r="M88" s="1801"/>
      <c r="N88" s="1801"/>
      <c r="O88" s="1801"/>
      <c r="P88" s="1801"/>
      <c r="Q88" s="1801"/>
      <c r="R88" s="1801"/>
      <c r="S88" s="1801"/>
      <c r="T88" s="1801"/>
      <c r="U88" s="1801"/>
      <c r="V88" s="1801"/>
      <c r="W88" s="1801"/>
      <c r="X88" s="1801"/>
      <c r="Y88" s="1801"/>
      <c r="Z88" s="1801"/>
      <c r="AA88" s="1801"/>
      <c r="AB88" s="1801"/>
      <c r="AC88" s="1801"/>
      <c r="AD88" s="1801"/>
      <c r="AE88" s="1801"/>
      <c r="AF88" s="1801"/>
      <c r="AG88" s="1801"/>
      <c r="AH88" s="1801"/>
      <c r="AI88" s="1801"/>
      <c r="AJ88" s="1801"/>
      <c r="AK88" s="1801"/>
    </row>
    <row r="89" spans="1:37">
      <c r="A89" s="4"/>
      <c r="C89" s="2"/>
      <c r="D89" s="4"/>
      <c r="E89" s="4"/>
      <c r="G89" s="1801"/>
      <c r="H89" s="1801"/>
      <c r="I89" s="1801"/>
      <c r="J89" s="1801"/>
      <c r="K89" s="1801"/>
      <c r="L89" s="1801"/>
      <c r="M89" s="1801"/>
      <c r="N89" s="1801"/>
      <c r="O89" s="1801"/>
      <c r="P89" s="1801"/>
      <c r="Q89" s="1801"/>
      <c r="R89" s="1801"/>
      <c r="S89" s="1801"/>
      <c r="T89" s="1801"/>
      <c r="U89" s="1801"/>
      <c r="V89" s="1801"/>
      <c r="W89" s="1801"/>
      <c r="X89" s="1801"/>
      <c r="Y89" s="1801"/>
      <c r="Z89" s="1801"/>
      <c r="AA89" s="1801"/>
      <c r="AB89" s="1801"/>
      <c r="AC89" s="1801"/>
      <c r="AD89" s="1801"/>
      <c r="AE89" s="1801"/>
      <c r="AF89" s="1801"/>
      <c r="AG89" s="1801"/>
      <c r="AH89" s="1801"/>
      <c r="AI89" s="1801"/>
      <c r="AJ89" s="1801"/>
      <c r="AK89" s="1801"/>
    </row>
    <row r="90" spans="1:37">
      <c r="A90" s="4"/>
      <c r="C90" s="2"/>
      <c r="D90" s="4"/>
      <c r="E90" s="4"/>
      <c r="G90" s="1801"/>
      <c r="H90" s="1801"/>
      <c r="I90" s="1801"/>
      <c r="J90" s="1801"/>
      <c r="K90" s="1801"/>
      <c r="L90" s="1801"/>
      <c r="M90" s="1801"/>
      <c r="N90" s="1801"/>
      <c r="O90" s="1801"/>
      <c r="P90" s="1801"/>
      <c r="Q90" s="1801"/>
      <c r="R90" s="1801"/>
      <c r="S90" s="1801"/>
      <c r="T90" s="1801"/>
      <c r="U90" s="1801"/>
      <c r="V90" s="1801"/>
      <c r="W90" s="1801"/>
      <c r="X90" s="1801"/>
      <c r="Y90" s="1801"/>
      <c r="Z90" s="1801"/>
      <c r="AA90" s="1801"/>
      <c r="AB90" s="1801"/>
      <c r="AC90" s="1801"/>
      <c r="AD90" s="1801"/>
      <c r="AE90" s="1801"/>
      <c r="AF90" s="1801"/>
      <c r="AG90" s="1801"/>
      <c r="AH90" s="1801"/>
      <c r="AI90" s="1801"/>
      <c r="AJ90" s="1801"/>
      <c r="AK90" s="1801"/>
    </row>
    <row r="91" spans="1:37">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78" t="s">
        <v>1171</v>
      </c>
      <c r="H92" s="1478"/>
      <c r="I92" s="1478"/>
      <c r="J92" s="1478"/>
      <c r="K92" s="1478"/>
      <c r="L92" s="1478"/>
      <c r="M92" s="1478"/>
      <c r="N92" s="1478"/>
      <c r="O92" s="1478"/>
      <c r="P92" s="1478"/>
      <c r="Q92" s="1478"/>
      <c r="R92" s="1478"/>
      <c r="S92" s="1478"/>
      <c r="T92" s="1478"/>
      <c r="U92" s="1478"/>
      <c r="V92" s="1478"/>
      <c r="W92" s="1478"/>
      <c r="X92" s="1478"/>
      <c r="Y92" s="1478"/>
      <c r="Z92" s="1478"/>
      <c r="AA92" s="1478"/>
      <c r="AB92" s="1478"/>
      <c r="AC92" s="1478"/>
      <c r="AD92" s="1478"/>
      <c r="AE92" s="1478"/>
      <c r="AF92" s="1478"/>
      <c r="AG92" s="1478"/>
      <c r="AH92" s="1478"/>
      <c r="AI92" s="1478"/>
      <c r="AJ92" s="1478"/>
      <c r="AK92" s="1478"/>
    </row>
    <row r="93" spans="1:37">
      <c r="A93" s="4"/>
      <c r="C93" s="2"/>
      <c r="D93" s="4"/>
      <c r="E93" s="4"/>
      <c r="G93" s="1478"/>
      <c r="H93" s="1478"/>
      <c r="I93" s="1478"/>
      <c r="J93" s="1478"/>
      <c r="K93" s="1478"/>
      <c r="L93" s="1478"/>
      <c r="M93" s="1478"/>
      <c r="N93" s="1478"/>
      <c r="O93" s="1478"/>
      <c r="P93" s="1478"/>
      <c r="Q93" s="1478"/>
      <c r="R93" s="1478"/>
      <c r="S93" s="1478"/>
      <c r="T93" s="1478"/>
      <c r="U93" s="1478"/>
      <c r="V93" s="1478"/>
      <c r="W93" s="1478"/>
      <c r="X93" s="1478"/>
      <c r="Y93" s="1478"/>
      <c r="Z93" s="1478"/>
      <c r="AA93" s="1478"/>
      <c r="AB93" s="1478"/>
      <c r="AC93" s="1478"/>
      <c r="AD93" s="1478"/>
      <c r="AE93" s="1478"/>
      <c r="AF93" s="1478"/>
      <c r="AG93" s="1478"/>
      <c r="AH93" s="1478"/>
      <c r="AI93" s="1478"/>
      <c r="AJ93" s="1478"/>
      <c r="AK93" s="1478"/>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478" t="s">
        <v>1172</v>
      </c>
      <c r="H95" s="1478"/>
      <c r="I95" s="1478"/>
      <c r="J95" s="1478"/>
      <c r="K95" s="1478"/>
      <c r="L95" s="1478"/>
      <c r="M95" s="1478"/>
      <c r="N95" s="1478"/>
      <c r="O95" s="1478"/>
      <c r="P95" s="1478"/>
      <c r="Q95" s="1478"/>
      <c r="R95" s="1478"/>
      <c r="S95" s="1478"/>
      <c r="T95" s="1478"/>
      <c r="U95" s="1478"/>
      <c r="V95" s="1478"/>
      <c r="W95" s="1478"/>
      <c r="X95" s="1478"/>
      <c r="Y95" s="1478"/>
      <c r="Z95" s="1478"/>
      <c r="AA95" s="1478"/>
      <c r="AB95" s="1478"/>
      <c r="AC95" s="1478"/>
      <c r="AD95" s="1478"/>
      <c r="AE95" s="1478"/>
      <c r="AF95" s="1478"/>
      <c r="AG95" s="1478"/>
      <c r="AH95" s="1478"/>
      <c r="AI95" s="1478"/>
      <c r="AJ95" s="1478"/>
      <c r="AK95" s="1478"/>
    </row>
    <row r="96" spans="1:37">
      <c r="A96" s="4"/>
      <c r="C96" s="2"/>
      <c r="D96" s="4"/>
      <c r="E96" s="4"/>
      <c r="G96" s="1478"/>
      <c r="H96" s="1478"/>
      <c r="I96" s="1478"/>
      <c r="J96" s="1478"/>
      <c r="K96" s="1478"/>
      <c r="L96" s="1478"/>
      <c r="M96" s="1478"/>
      <c r="N96" s="1478"/>
      <c r="O96" s="1478"/>
      <c r="P96" s="1478"/>
      <c r="Q96" s="1478"/>
      <c r="R96" s="1478"/>
      <c r="S96" s="1478"/>
      <c r="T96" s="1478"/>
      <c r="U96" s="1478"/>
      <c r="V96" s="1478"/>
      <c r="W96" s="1478"/>
      <c r="X96" s="1478"/>
      <c r="Y96" s="1478"/>
      <c r="Z96" s="1478"/>
      <c r="AA96" s="1478"/>
      <c r="AB96" s="1478"/>
      <c r="AC96" s="1478"/>
      <c r="AD96" s="1478"/>
      <c r="AE96" s="1478"/>
      <c r="AF96" s="1478"/>
      <c r="AG96" s="1478"/>
      <c r="AH96" s="1478"/>
      <c r="AI96" s="1478"/>
      <c r="AJ96" s="1478"/>
      <c r="AK96" s="1478"/>
    </row>
    <row r="97" spans="1:38">
      <c r="A97" s="4"/>
      <c r="C97" s="2"/>
      <c r="D97" s="4"/>
      <c r="E97" s="4"/>
      <c r="G97" s="1478"/>
      <c r="H97" s="1478"/>
      <c r="I97" s="1478"/>
      <c r="J97" s="1478"/>
      <c r="K97" s="1478"/>
      <c r="L97" s="1478"/>
      <c r="M97" s="1478"/>
      <c r="N97" s="1478"/>
      <c r="O97" s="1478"/>
      <c r="P97" s="1478"/>
      <c r="Q97" s="1478"/>
      <c r="R97" s="1478"/>
      <c r="S97" s="1478"/>
      <c r="T97" s="1478"/>
      <c r="U97" s="1478"/>
      <c r="V97" s="1478"/>
      <c r="W97" s="1478"/>
      <c r="X97" s="1478"/>
      <c r="Y97" s="1478"/>
      <c r="Z97" s="1478"/>
      <c r="AA97" s="1478"/>
      <c r="AB97" s="1478"/>
      <c r="AC97" s="1478"/>
      <c r="AD97" s="1478"/>
      <c r="AE97" s="1478"/>
      <c r="AF97" s="1478"/>
      <c r="AG97" s="1478"/>
      <c r="AH97" s="1478"/>
      <c r="AI97" s="1478"/>
      <c r="AJ97" s="1478"/>
      <c r="AK97" s="1478"/>
    </row>
    <row r="98" spans="1:38">
      <c r="A98" s="4"/>
      <c r="D98" s="99"/>
      <c r="E98" s="1802" t="s">
        <v>1173</v>
      </c>
      <c r="F98" s="1802"/>
      <c r="G98" s="1802"/>
      <c r="H98" s="1802"/>
      <c r="I98" s="1802"/>
      <c r="J98" s="1802"/>
      <c r="K98" s="1802"/>
      <c r="L98" s="1802"/>
      <c r="M98" s="1802"/>
      <c r="N98" s="1802"/>
      <c r="O98" s="1802"/>
      <c r="P98" s="1802"/>
      <c r="Q98" s="1802"/>
      <c r="R98" s="1802"/>
      <c r="S98" s="1802"/>
      <c r="T98" s="1802"/>
      <c r="U98" s="1802"/>
      <c r="V98" s="1802"/>
      <c r="W98" s="1802"/>
      <c r="X98" s="1802"/>
      <c r="Y98" s="1802"/>
      <c r="Z98" s="1802"/>
      <c r="AA98" s="1802"/>
      <c r="AB98" s="1802"/>
      <c r="AC98" s="1802"/>
      <c r="AD98" s="1802"/>
      <c r="AE98" s="1802"/>
      <c r="AF98" s="1802"/>
      <c r="AG98" s="1802"/>
      <c r="AH98" s="1802"/>
      <c r="AI98" s="1802"/>
      <c r="AJ98" s="1802"/>
      <c r="AK98" s="1802"/>
    </row>
    <row r="99" spans="1:38">
      <c r="A99" s="4"/>
      <c r="D99" s="99"/>
      <c r="E99" s="1802"/>
      <c r="F99" s="1802"/>
      <c r="G99" s="1802"/>
      <c r="H99" s="1802"/>
      <c r="I99" s="1802"/>
      <c r="J99" s="1802"/>
      <c r="K99" s="1802"/>
      <c r="L99" s="1802"/>
      <c r="M99" s="1802"/>
      <c r="N99" s="1802"/>
      <c r="O99" s="1802"/>
      <c r="P99" s="1802"/>
      <c r="Q99" s="1802"/>
      <c r="R99" s="1802"/>
      <c r="S99" s="1802"/>
      <c r="T99" s="1802"/>
      <c r="U99" s="1802"/>
      <c r="V99" s="1802"/>
      <c r="W99" s="1802"/>
      <c r="X99" s="1802"/>
      <c r="Y99" s="1802"/>
      <c r="Z99" s="1802"/>
      <c r="AA99" s="1802"/>
      <c r="AB99" s="1802"/>
      <c r="AC99" s="1802"/>
      <c r="AD99" s="1802"/>
      <c r="AE99" s="1802"/>
      <c r="AF99" s="1802"/>
      <c r="AG99" s="1802"/>
      <c r="AH99" s="1802"/>
      <c r="AI99" s="1802"/>
      <c r="AJ99" s="1802"/>
      <c r="AK99" s="180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338</v>
      </c>
      <c r="C101" s="11" t="s">
        <v>419</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428</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c r="F117" s="4" t="s">
        <v>1013</v>
      </c>
      <c r="G117" s="4"/>
    </row>
    <row r="118" spans="2:10">
      <c r="F118" s="99" t="s">
        <v>1185</v>
      </c>
      <c r="G118" s="99"/>
    </row>
    <row r="119" spans="2:10">
      <c r="G119" s="99"/>
    </row>
    <row r="120" spans="2:10">
      <c r="E120" s="4" t="s">
        <v>761</v>
      </c>
      <c r="F120" s="98" t="s">
        <v>376</v>
      </c>
    </row>
    <row r="121" spans="2:10">
      <c r="E121" s="4"/>
      <c r="F121" s="4" t="s">
        <v>1005</v>
      </c>
    </row>
    <row r="122" spans="2:10">
      <c r="B122" s="2"/>
      <c r="C122" s="2"/>
      <c r="F122" s="2"/>
    </row>
    <row r="123" spans="2:10">
      <c r="B123" s="2"/>
      <c r="C123" s="2" t="s">
        <v>429</v>
      </c>
      <c r="G123" s="2" t="s">
        <v>377</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339</v>
      </c>
      <c r="E127" s="2" t="s">
        <v>575</v>
      </c>
    </row>
    <row r="128" spans="2:10">
      <c r="E128" s="4" t="s">
        <v>921</v>
      </c>
      <c r="F128" s="4"/>
    </row>
    <row r="129" spans="4:37"/>
    <row r="130" spans="4:37">
      <c r="D130" s="2" t="s">
        <v>572</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512</v>
      </c>
      <c r="E135" s="2" t="s">
        <v>515</v>
      </c>
      <c r="F135" s="2"/>
    </row>
    <row r="136" spans="4:37">
      <c r="E136" s="3" t="s">
        <v>1211</v>
      </c>
      <c r="F136" s="4"/>
    </row>
    <row r="137" spans="4:37">
      <c r="F137" s="4"/>
    </row>
    <row r="138" spans="4:37">
      <c r="D138" s="2" t="s">
        <v>302</v>
      </c>
      <c r="E138" s="2" t="s">
        <v>1998</v>
      </c>
      <c r="F138" s="2"/>
      <c r="G138" s="2"/>
      <c r="H138" s="2"/>
    </row>
    <row r="139" spans="4:37">
      <c r="E139" t="s">
        <v>112</v>
      </c>
      <c r="F139" t="s">
        <v>52</v>
      </c>
    </row>
    <row r="140" spans="4:37">
      <c r="E140" t="s">
        <v>113</v>
      </c>
      <c r="F140" t="s">
        <v>464</v>
      </c>
    </row>
    <row r="141" spans="4:37"/>
    <row r="142" spans="4:37">
      <c r="D142" s="2" t="s">
        <v>427</v>
      </c>
      <c r="E142" s="2" t="s">
        <v>1999</v>
      </c>
    </row>
    <row r="143" spans="4:37">
      <c r="E143" s="204" t="s">
        <v>2000</v>
      </c>
      <c r="F143" s="204"/>
    </row>
    <row r="144" spans="4:37"/>
    <row r="145" spans="3:7">
      <c r="C145" s="2" t="s">
        <v>6</v>
      </c>
      <c r="G145" s="2" t="s">
        <v>378</v>
      </c>
    </row>
    <row r="146" spans="3:7">
      <c r="D146" s="2" t="s">
        <v>206</v>
      </c>
      <c r="E146" s="2" t="s">
        <v>135</v>
      </c>
    </row>
    <row r="147" spans="3:7">
      <c r="E147" t="s">
        <v>795</v>
      </c>
    </row>
    <row r="148" spans="3:7"/>
    <row r="149" spans="3:7">
      <c r="D149" s="2" t="s">
        <v>339</v>
      </c>
      <c r="E149" s="2" t="s">
        <v>522</v>
      </c>
      <c r="F149" s="2"/>
    </row>
    <row r="150" spans="3:7">
      <c r="E150" s="4" t="s">
        <v>923</v>
      </c>
      <c r="F150" s="4"/>
    </row>
    <row r="151" spans="3:7"/>
    <row r="152" spans="3:7">
      <c r="D152" s="2" t="s">
        <v>572</v>
      </c>
      <c r="E152" s="2" t="s">
        <v>551</v>
      </c>
    </row>
    <row r="153" spans="3:7">
      <c r="E153" s="4" t="s">
        <v>924</v>
      </c>
    </row>
    <row r="154" spans="3:7">
      <c r="E154" s="4" t="s">
        <v>922</v>
      </c>
      <c r="G154" s="4"/>
    </row>
    <row r="155" spans="3:7"/>
    <row r="156" spans="3:7">
      <c r="D156" s="2" t="s">
        <v>512</v>
      </c>
      <c r="E156" s="2" t="s">
        <v>531</v>
      </c>
    </row>
    <row r="157" spans="3:7">
      <c r="E157" t="s">
        <v>112</v>
      </c>
      <c r="F157" s="4" t="s">
        <v>925</v>
      </c>
    </row>
    <row r="158" spans="3:7">
      <c r="E158" s="4" t="s">
        <v>113</v>
      </c>
      <c r="F158" s="4" t="s">
        <v>926</v>
      </c>
    </row>
    <row r="159" spans="3:7">
      <c r="E159" s="4" t="s">
        <v>119</v>
      </c>
      <c r="F159" t="s">
        <v>723</v>
      </c>
    </row>
    <row r="160" spans="3:7"/>
    <row r="161" spans="3:20">
      <c r="D161" s="2" t="s">
        <v>302</v>
      </c>
      <c r="E161" s="2" t="s">
        <v>379</v>
      </c>
    </row>
    <row r="162" spans="3:20">
      <c r="E162" s="4" t="s">
        <v>927</v>
      </c>
      <c r="F162" s="4"/>
    </row>
    <row r="163" spans="3:20"/>
    <row r="164" spans="3:20">
      <c r="D164" s="2" t="s">
        <v>427</v>
      </c>
      <c r="E164" s="2" t="s">
        <v>171</v>
      </c>
    </row>
    <row r="165" spans="3:20">
      <c r="E165" s="4" t="s">
        <v>929</v>
      </c>
    </row>
    <row r="166" spans="3:20">
      <c r="E166" s="4" t="s">
        <v>928</v>
      </c>
    </row>
    <row r="167" spans="3:20"/>
    <row r="168" spans="3:20">
      <c r="D168" s="2" t="s">
        <v>555</v>
      </c>
      <c r="E168" s="2" t="s">
        <v>620</v>
      </c>
    </row>
    <row r="169" spans="3:20">
      <c r="E169" t="s">
        <v>112</v>
      </c>
      <c r="F169" t="s">
        <v>724</v>
      </c>
    </row>
    <row r="170" spans="3:20">
      <c r="E170" t="s">
        <v>113</v>
      </c>
      <c r="F170" t="s">
        <v>296</v>
      </c>
    </row>
    <row r="171" spans="3:20">
      <c r="F171" s="4"/>
    </row>
    <row r="172" spans="3:20">
      <c r="C172" s="2" t="s">
        <v>7</v>
      </c>
      <c r="E172" s="4"/>
      <c r="G172" s="2" t="s">
        <v>380</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575</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339</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572</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512</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346</v>
      </c>
      <c r="G193" s="3" t="s">
        <v>1206</v>
      </c>
      <c r="I193" s="4"/>
      <c r="J193" s="4"/>
      <c r="M193" s="4"/>
      <c r="N193" s="4"/>
      <c r="O193" s="4"/>
      <c r="P193" s="4"/>
      <c r="Q193" s="4"/>
      <c r="R193" s="4"/>
      <c r="S193" s="4"/>
    </row>
    <row r="194" spans="2:37">
      <c r="B194" s="4"/>
      <c r="C194" s="4"/>
      <c r="F194" s="4" t="s">
        <v>347</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427</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579</v>
      </c>
      <c r="F204" s="4" t="s">
        <v>935</v>
      </c>
      <c r="M204" s="4"/>
      <c r="N204" s="4"/>
      <c r="O204" s="4"/>
      <c r="P204" s="4"/>
      <c r="Q204" s="4"/>
      <c r="R204" s="4"/>
      <c r="S204" s="4"/>
    </row>
    <row r="205" spans="2:37">
      <c r="B205" s="4"/>
      <c r="C205" s="4"/>
      <c r="D205" s="2"/>
      <c r="F205" t="s">
        <v>651</v>
      </c>
      <c r="G205" s="1478" t="s">
        <v>1174</v>
      </c>
      <c r="H205" s="1478"/>
      <c r="I205" s="1478"/>
      <c r="J205" s="1478"/>
      <c r="K205" s="1478"/>
      <c r="L205" s="1478"/>
      <c r="M205" s="1478"/>
      <c r="N205" s="1478"/>
      <c r="O205" s="1478"/>
      <c r="P205" s="1478"/>
      <c r="Q205" s="1478"/>
      <c r="R205" s="1478"/>
      <c r="S205" s="1478"/>
      <c r="T205" s="1478"/>
      <c r="U205" s="1478"/>
      <c r="V205" s="1478"/>
      <c r="W205" s="1478"/>
      <c r="X205" s="1478"/>
      <c r="Y205" s="1478"/>
      <c r="Z205" s="1478"/>
      <c r="AA205" s="1478"/>
      <c r="AB205" s="1478"/>
      <c r="AC205" s="1478"/>
      <c r="AD205" s="1478"/>
      <c r="AE205" s="1478"/>
      <c r="AF205" s="1478"/>
      <c r="AG205" s="1478"/>
      <c r="AH205" s="1478"/>
      <c r="AI205" s="1478"/>
      <c r="AJ205" s="1478"/>
      <c r="AK205" s="1478"/>
    </row>
    <row r="206" spans="2:37">
      <c r="B206" s="4"/>
      <c r="C206" s="4"/>
      <c r="D206" s="2"/>
      <c r="G206" s="1478"/>
      <c r="H206" s="1478"/>
      <c r="I206" s="1478"/>
      <c r="J206" s="1478"/>
      <c r="K206" s="1478"/>
      <c r="L206" s="1478"/>
      <c r="M206" s="1478"/>
      <c r="N206" s="1478"/>
      <c r="O206" s="1478"/>
      <c r="P206" s="1478"/>
      <c r="Q206" s="1478"/>
      <c r="R206" s="1478"/>
      <c r="S206" s="1478"/>
      <c r="T206" s="1478"/>
      <c r="U206" s="1478"/>
      <c r="V206" s="1478"/>
      <c r="W206" s="1478"/>
      <c r="X206" s="1478"/>
      <c r="Y206" s="1478"/>
      <c r="Z206" s="1478"/>
      <c r="AA206" s="1478"/>
      <c r="AB206" s="1478"/>
      <c r="AC206" s="1478"/>
      <c r="AD206" s="1478"/>
      <c r="AE206" s="1478"/>
      <c r="AF206" s="1478"/>
      <c r="AG206" s="1478"/>
      <c r="AH206" s="1478"/>
      <c r="AI206" s="1478"/>
      <c r="AJ206" s="1478"/>
      <c r="AK206" s="1478"/>
    </row>
    <row r="207" spans="2:37">
      <c r="B207" s="4"/>
      <c r="C207" s="4"/>
      <c r="D207" s="2"/>
      <c r="M207" s="4"/>
      <c r="N207" s="4"/>
      <c r="O207" s="4"/>
      <c r="P207" s="4"/>
      <c r="Q207" s="4"/>
      <c r="R207" s="4"/>
      <c r="S207" s="4"/>
    </row>
    <row r="208" spans="2:37">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553</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398</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428</v>
      </c>
      <c r="D223" s="4"/>
      <c r="E223" s="4"/>
      <c r="F223" s="4"/>
      <c r="G223" s="2" t="s">
        <v>450</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429</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346</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346</v>
      </c>
      <c r="G242" s="136" t="s">
        <v>941</v>
      </c>
      <c r="I242" s="4"/>
      <c r="M242" s="4"/>
      <c r="N242" s="4"/>
      <c r="O242" s="4"/>
      <c r="P242" s="4"/>
      <c r="Q242" s="4"/>
      <c r="R242" s="4"/>
      <c r="S242" s="4"/>
    </row>
    <row r="243" spans="2:21">
      <c r="B243" s="4"/>
      <c r="C243" s="4"/>
      <c r="F243" s="4" t="s">
        <v>347</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430</v>
      </c>
      <c r="I246" s="4"/>
      <c r="M246" s="4"/>
      <c r="N246" s="4"/>
      <c r="O246" s="4"/>
      <c r="P246" s="4"/>
      <c r="Q246" s="4"/>
      <c r="R246" s="4"/>
      <c r="S246" s="4"/>
    </row>
    <row r="247" spans="2:21">
      <c r="B247" s="4"/>
      <c r="C247" s="4"/>
      <c r="D247" s="2"/>
      <c r="E247" s="2"/>
      <c r="F247" s="4"/>
      <c r="G247" s="4" t="s">
        <v>431</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381</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346</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382</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579</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339</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572</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512</v>
      </c>
      <c r="E272" s="2" t="s">
        <v>610</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427</v>
      </c>
      <c r="E280" s="2" t="s">
        <v>423</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555</v>
      </c>
      <c r="E286" s="2" t="s">
        <v>556</v>
      </c>
      <c r="K286" s="4"/>
      <c r="L286" s="4"/>
      <c r="M286" s="4"/>
      <c r="N286" s="4"/>
    </row>
    <row r="287" spans="2:23">
      <c r="B287" s="2"/>
      <c r="D287" s="4"/>
      <c r="E287" s="4" t="s">
        <v>112</v>
      </c>
      <c r="F287" s="4" t="s">
        <v>557</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558</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346</v>
      </c>
      <c r="G292" s="4" t="s">
        <v>938</v>
      </c>
      <c r="H292" s="4"/>
      <c r="K292" s="4"/>
      <c r="L292" s="4"/>
      <c r="M292" s="4"/>
      <c r="N292" s="4"/>
      <c r="O292" s="4"/>
      <c r="P292" s="4"/>
      <c r="Q292" s="4"/>
      <c r="R292" s="4"/>
      <c r="S292" s="4"/>
      <c r="T292" s="4"/>
      <c r="U292" s="4"/>
      <c r="V292" s="4"/>
      <c r="W292" s="4"/>
    </row>
    <row r="293" spans="2:23">
      <c r="B293" s="2"/>
      <c r="D293" s="4"/>
      <c r="E293" s="4"/>
      <c r="F293" s="4" t="s">
        <v>347</v>
      </c>
      <c r="G293" s="4" t="s">
        <v>559</v>
      </c>
      <c r="K293" s="4"/>
      <c r="L293" s="4"/>
      <c r="M293" s="4"/>
      <c r="N293" s="4"/>
      <c r="O293" s="4"/>
      <c r="P293" s="4"/>
      <c r="Q293" s="4"/>
      <c r="R293" s="4"/>
      <c r="S293" s="4"/>
      <c r="T293" s="4"/>
      <c r="U293" s="4"/>
      <c r="V293" s="4"/>
      <c r="W293" s="4"/>
    </row>
    <row r="294" spans="2:23">
      <c r="B294" s="2"/>
      <c r="D294" s="4"/>
      <c r="E294" s="4"/>
      <c r="F294" s="4" t="s">
        <v>442</v>
      </c>
      <c r="G294" s="4" t="s">
        <v>260</v>
      </c>
      <c r="H294" s="4"/>
      <c r="K294" s="4"/>
      <c r="L294" s="4"/>
      <c r="M294" s="4"/>
      <c r="N294" s="4"/>
      <c r="O294" s="4"/>
      <c r="P294" s="4"/>
      <c r="Q294" s="4"/>
      <c r="R294" s="4"/>
      <c r="S294" s="4"/>
      <c r="T294" s="4"/>
      <c r="U294" s="4"/>
      <c r="V294" s="4"/>
      <c r="W294" s="4"/>
    </row>
    <row r="295" spans="2:23">
      <c r="B295" s="2"/>
      <c r="D295" s="4"/>
      <c r="E295" s="4"/>
      <c r="F295" s="4" t="s">
        <v>261</v>
      </c>
      <c r="G295" s="4" t="s">
        <v>388</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579</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553</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612</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339</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572</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613</v>
      </c>
      <c r="I322" s="4"/>
      <c r="J322" s="4"/>
      <c r="K322" s="4"/>
      <c r="L322" s="4"/>
      <c r="M322" s="4"/>
      <c r="N322" s="4"/>
      <c r="O322" s="4"/>
      <c r="P322" s="4"/>
      <c r="Q322" s="4"/>
      <c r="R322" s="4"/>
      <c r="S322" s="4"/>
    </row>
    <row r="323" spans="1:38">
      <c r="A323" t="s">
        <v>249</v>
      </c>
      <c r="D323" s="2" t="s">
        <v>206</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428</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478" t="s">
        <v>1153</v>
      </c>
      <c r="G336" s="1478"/>
      <c r="H336" s="1478"/>
      <c r="I336" s="1478"/>
      <c r="J336" s="1478"/>
      <c r="K336" s="1478"/>
      <c r="L336" s="1478"/>
      <c r="M336" s="1478"/>
      <c r="N336" s="1478"/>
      <c r="O336" s="1478"/>
      <c r="P336" s="1478"/>
      <c r="Q336" s="1478"/>
      <c r="R336" s="1478"/>
      <c r="S336" s="1478"/>
      <c r="T336" s="1478"/>
      <c r="U336" s="1478"/>
      <c r="V336" s="1478"/>
      <c r="W336" s="1478"/>
      <c r="X336" s="1478"/>
      <c r="Y336" s="1478"/>
      <c r="Z336" s="1478"/>
      <c r="AA336" s="1478"/>
      <c r="AB336" s="1478"/>
      <c r="AC336" s="1478"/>
      <c r="AD336" s="1478"/>
      <c r="AE336" s="1478"/>
      <c r="AF336" s="1478"/>
      <c r="AG336" s="1478"/>
      <c r="AH336" s="1478"/>
      <c r="AI336" s="1478"/>
      <c r="AJ336" s="1478"/>
      <c r="AK336" s="1478"/>
    </row>
    <row r="337" spans="2:37">
      <c r="B337" s="2"/>
      <c r="E337" s="4"/>
      <c r="F337" s="1478"/>
      <c r="G337" s="1478"/>
      <c r="H337" s="1478"/>
      <c r="I337" s="1478"/>
      <c r="J337" s="1478"/>
      <c r="K337" s="1478"/>
      <c r="L337" s="1478"/>
      <c r="M337" s="1478"/>
      <c r="N337" s="1478"/>
      <c r="O337" s="1478"/>
      <c r="P337" s="1478"/>
      <c r="Q337" s="1478"/>
      <c r="R337" s="1478"/>
      <c r="S337" s="1478"/>
      <c r="T337" s="1478"/>
      <c r="U337" s="1478"/>
      <c r="V337" s="1478"/>
      <c r="W337" s="1478"/>
      <c r="X337" s="1478"/>
      <c r="Y337" s="1478"/>
      <c r="Z337" s="1478"/>
      <c r="AA337" s="1478"/>
      <c r="AB337" s="1478"/>
      <c r="AC337" s="1478"/>
      <c r="AD337" s="1478"/>
      <c r="AE337" s="1478"/>
      <c r="AF337" s="1478"/>
      <c r="AG337" s="1478"/>
      <c r="AH337" s="1478"/>
      <c r="AI337" s="1478"/>
      <c r="AJ337" s="1478"/>
      <c r="AK337" s="1478"/>
    </row>
    <row r="338" spans="2:37">
      <c r="B338" s="2"/>
      <c r="E338" s="4"/>
      <c r="F338" s="1478"/>
      <c r="G338" s="1478"/>
      <c r="H338" s="1478"/>
      <c r="I338" s="1478"/>
      <c r="J338" s="1478"/>
      <c r="K338" s="1478"/>
      <c r="L338" s="1478"/>
      <c r="M338" s="1478"/>
      <c r="N338" s="1478"/>
      <c r="O338" s="1478"/>
      <c r="P338" s="1478"/>
      <c r="Q338" s="1478"/>
      <c r="R338" s="1478"/>
      <c r="S338" s="1478"/>
      <c r="T338" s="1478"/>
      <c r="U338" s="1478"/>
      <c r="V338" s="1478"/>
      <c r="W338" s="1478"/>
      <c r="X338" s="1478"/>
      <c r="Y338" s="1478"/>
      <c r="Z338" s="1478"/>
      <c r="AA338" s="1478"/>
      <c r="AB338" s="1478"/>
      <c r="AC338" s="1478"/>
      <c r="AD338" s="1478"/>
      <c r="AE338" s="1478"/>
      <c r="AF338" s="1478"/>
      <c r="AG338" s="1478"/>
      <c r="AH338" s="1478"/>
      <c r="AI338" s="1478"/>
      <c r="AJ338" s="1478"/>
      <c r="AK338" s="1478"/>
    </row>
    <row r="339" spans="2:37">
      <c r="B339" s="2"/>
      <c r="F339" s="4"/>
      <c r="H339" s="4"/>
      <c r="I339" s="4"/>
      <c r="J339" s="4"/>
      <c r="K339" s="4"/>
      <c r="L339" s="4"/>
      <c r="M339" s="4"/>
      <c r="N339" s="4"/>
      <c r="O339" s="4"/>
      <c r="P339" s="4"/>
      <c r="Q339" s="4"/>
      <c r="R339" s="4"/>
      <c r="S339" s="4"/>
    </row>
    <row r="340" spans="2:37">
      <c r="B340" s="2"/>
      <c r="C340" s="2" t="s">
        <v>429</v>
      </c>
      <c r="G340" s="2" t="s">
        <v>1226</v>
      </c>
      <c r="I340" s="2"/>
      <c r="J340" s="4"/>
      <c r="K340" s="4"/>
      <c r="L340" s="4"/>
      <c r="M340" s="4"/>
      <c r="N340" s="4"/>
      <c r="O340" s="4"/>
      <c r="P340" s="4"/>
      <c r="Q340" s="4"/>
      <c r="R340" s="4"/>
      <c r="S340" s="4"/>
    </row>
    <row r="341" spans="2:37" ht="13.15" customHeight="1">
      <c r="B341" s="2"/>
      <c r="E341" s="1803" t="s">
        <v>1233</v>
      </c>
      <c r="F341" s="1803"/>
      <c r="G341" s="1803"/>
      <c r="H341" s="1803"/>
      <c r="I341" s="1803"/>
      <c r="J341" s="1803"/>
      <c r="K341" s="1803"/>
      <c r="L341" s="1803"/>
      <c r="M341" s="1803"/>
      <c r="N341" s="1803"/>
      <c r="O341" s="1803"/>
      <c r="P341" s="1803"/>
      <c r="Q341" s="1803"/>
      <c r="R341" s="1803"/>
      <c r="S341" s="1803"/>
      <c r="T341" s="1803"/>
      <c r="U341" s="1803"/>
      <c r="V341" s="1803"/>
      <c r="W341" s="1803"/>
      <c r="X341" s="1803"/>
      <c r="Y341" s="1803"/>
      <c r="Z341" s="1803"/>
      <c r="AA341" s="1803"/>
      <c r="AB341" s="1803"/>
      <c r="AC341" s="1803"/>
      <c r="AD341" s="1803"/>
      <c r="AE341" s="1803"/>
      <c r="AF341" s="1803"/>
      <c r="AG341" s="1803"/>
      <c r="AH341" s="1803"/>
      <c r="AI341" s="1803"/>
      <c r="AJ341" s="1803"/>
      <c r="AK341" s="1803"/>
    </row>
    <row r="342" spans="2:37">
      <c r="B342" s="2"/>
      <c r="E342" s="1803"/>
      <c r="F342" s="1803"/>
      <c r="G342" s="1803"/>
      <c r="H342" s="1803"/>
      <c r="I342" s="1803"/>
      <c r="J342" s="1803"/>
      <c r="K342" s="1803"/>
      <c r="L342" s="1803"/>
      <c r="M342" s="1803"/>
      <c r="N342" s="1803"/>
      <c r="O342" s="1803"/>
      <c r="P342" s="1803"/>
      <c r="Q342" s="1803"/>
      <c r="R342" s="1803"/>
      <c r="S342" s="1803"/>
      <c r="T342" s="1803"/>
      <c r="U342" s="1803"/>
      <c r="V342" s="1803"/>
      <c r="W342" s="1803"/>
      <c r="X342" s="1803"/>
      <c r="Y342" s="1803"/>
      <c r="Z342" s="1803"/>
      <c r="AA342" s="1803"/>
      <c r="AB342" s="1803"/>
      <c r="AC342" s="1803"/>
      <c r="AD342" s="1803"/>
      <c r="AE342" s="1803"/>
      <c r="AF342" s="1803"/>
      <c r="AG342" s="1803"/>
      <c r="AH342" s="1803"/>
      <c r="AI342" s="1803"/>
      <c r="AJ342" s="1803"/>
      <c r="AK342" s="1803"/>
    </row>
    <row r="343" spans="2:37">
      <c r="B343" s="2"/>
      <c r="E343" s="1803"/>
      <c r="F343" s="1803"/>
      <c r="G343" s="1803"/>
      <c r="H343" s="1803"/>
      <c r="I343" s="1803"/>
      <c r="J343" s="1803"/>
      <c r="K343" s="1803"/>
      <c r="L343" s="1803"/>
      <c r="M343" s="1803"/>
      <c r="N343" s="1803"/>
      <c r="O343" s="1803"/>
      <c r="P343" s="1803"/>
      <c r="Q343" s="1803"/>
      <c r="R343" s="1803"/>
      <c r="S343" s="1803"/>
      <c r="T343" s="1803"/>
      <c r="U343" s="1803"/>
      <c r="V343" s="1803"/>
      <c r="W343" s="1803"/>
      <c r="X343" s="1803"/>
      <c r="Y343" s="1803"/>
      <c r="Z343" s="1803"/>
      <c r="AA343" s="1803"/>
      <c r="AB343" s="1803"/>
      <c r="AC343" s="1803"/>
      <c r="AD343" s="1803"/>
      <c r="AE343" s="1803"/>
      <c r="AF343" s="1803"/>
      <c r="AG343" s="1803"/>
      <c r="AH343" s="1803"/>
      <c r="AI343" s="1803"/>
      <c r="AJ343" s="1803"/>
      <c r="AK343" s="1803"/>
    </row>
    <row r="344" spans="2:37">
      <c r="B344" s="2"/>
      <c r="E344" s="1803"/>
      <c r="F344" s="1803"/>
      <c r="G344" s="1803"/>
      <c r="H344" s="1803"/>
      <c r="I344" s="1803"/>
      <c r="J344" s="1803"/>
      <c r="K344" s="1803"/>
      <c r="L344" s="1803"/>
      <c r="M344" s="1803"/>
      <c r="N344" s="1803"/>
      <c r="O344" s="1803"/>
      <c r="P344" s="1803"/>
      <c r="Q344" s="1803"/>
      <c r="R344" s="1803"/>
      <c r="S344" s="1803"/>
      <c r="T344" s="1803"/>
      <c r="U344" s="1803"/>
      <c r="V344" s="1803"/>
      <c r="W344" s="1803"/>
      <c r="X344" s="1803"/>
      <c r="Y344" s="1803"/>
      <c r="Z344" s="1803"/>
      <c r="AA344" s="1803"/>
      <c r="AB344" s="1803"/>
      <c r="AC344" s="1803"/>
      <c r="AD344" s="1803"/>
      <c r="AE344" s="1803"/>
      <c r="AF344" s="1803"/>
      <c r="AG344" s="1803"/>
      <c r="AH344" s="1803"/>
      <c r="AI344" s="1803"/>
      <c r="AJ344" s="1803"/>
      <c r="AK344" s="1803"/>
    </row>
    <row r="345" spans="2:37">
      <c r="B345" s="2"/>
      <c r="E345" s="1803"/>
      <c r="F345" s="1803"/>
      <c r="G345" s="1803"/>
      <c r="H345" s="1803"/>
      <c r="I345" s="1803"/>
      <c r="J345" s="1803"/>
      <c r="K345" s="1803"/>
      <c r="L345" s="1803"/>
      <c r="M345" s="1803"/>
      <c r="N345" s="1803"/>
      <c r="O345" s="1803"/>
      <c r="P345" s="1803"/>
      <c r="Q345" s="1803"/>
      <c r="R345" s="1803"/>
      <c r="S345" s="1803"/>
      <c r="T345" s="1803"/>
      <c r="U345" s="1803"/>
      <c r="V345" s="1803"/>
      <c r="W345" s="1803"/>
      <c r="X345" s="1803"/>
      <c r="Y345" s="1803"/>
      <c r="Z345" s="1803"/>
      <c r="AA345" s="1803"/>
      <c r="AB345" s="1803"/>
      <c r="AC345" s="1803"/>
      <c r="AD345" s="1803"/>
      <c r="AE345" s="1803"/>
      <c r="AF345" s="1803"/>
      <c r="AG345" s="1803"/>
      <c r="AH345" s="1803"/>
      <c r="AI345" s="1803"/>
      <c r="AJ345" s="1803"/>
      <c r="AK345" s="1803"/>
    </row>
    <row r="346" spans="2:37">
      <c r="B346" s="2"/>
      <c r="E346" s="3" t="s">
        <v>112</v>
      </c>
      <c r="F346" s="1478" t="s">
        <v>1235</v>
      </c>
      <c r="G346" s="1478"/>
      <c r="H346" s="1478"/>
      <c r="I346" s="1478"/>
      <c r="J346" s="1478"/>
      <c r="K346" s="1478"/>
      <c r="L346" s="1478"/>
      <c r="M346" s="1478"/>
      <c r="N346" s="1478"/>
      <c r="O346" s="1478"/>
      <c r="P346" s="1478"/>
      <c r="Q346" s="1478"/>
      <c r="R346" s="1478"/>
      <c r="S346" s="1478"/>
      <c r="T346" s="1478"/>
      <c r="U346" s="1478"/>
      <c r="V346" s="1478"/>
      <c r="W346" s="1478"/>
      <c r="X346" s="1478"/>
      <c r="Y346" s="1478"/>
      <c r="Z346" s="1478"/>
      <c r="AA346" s="1478"/>
      <c r="AB346" s="1478"/>
      <c r="AC346" s="1478"/>
      <c r="AD346" s="1478"/>
      <c r="AE346" s="1478"/>
      <c r="AF346" s="1478"/>
      <c r="AG346" s="1478"/>
      <c r="AH346" s="1478"/>
      <c r="AI346" s="1478"/>
      <c r="AJ346" s="1478"/>
      <c r="AK346" s="1478"/>
    </row>
    <row r="347" spans="2:37">
      <c r="B347" s="2"/>
      <c r="E347" s="3"/>
      <c r="F347" s="1478"/>
      <c r="G347" s="1478"/>
      <c r="H347" s="1478"/>
      <c r="I347" s="1478"/>
      <c r="J347" s="1478"/>
      <c r="K347" s="1478"/>
      <c r="L347" s="1478"/>
      <c r="M347" s="1478"/>
      <c r="N347" s="1478"/>
      <c r="O347" s="1478"/>
      <c r="P347" s="1478"/>
      <c r="Q347" s="1478"/>
      <c r="R347" s="1478"/>
      <c r="S347" s="1478"/>
      <c r="T347" s="1478"/>
      <c r="U347" s="1478"/>
      <c r="V347" s="1478"/>
      <c r="W347" s="1478"/>
      <c r="X347" s="1478"/>
      <c r="Y347" s="1478"/>
      <c r="Z347" s="1478"/>
      <c r="AA347" s="1478"/>
      <c r="AB347" s="1478"/>
      <c r="AC347" s="1478"/>
      <c r="AD347" s="1478"/>
      <c r="AE347" s="1478"/>
      <c r="AF347" s="1478"/>
      <c r="AG347" s="1478"/>
      <c r="AH347" s="1478"/>
      <c r="AI347" s="1478"/>
      <c r="AJ347" s="1478"/>
      <c r="AK347" s="1478"/>
    </row>
    <row r="348" spans="2:37">
      <c r="B348" s="2"/>
      <c r="E348" s="3"/>
      <c r="F348" s="1478"/>
      <c r="G348" s="1478"/>
      <c r="H348" s="1478"/>
      <c r="I348" s="1478"/>
      <c r="J348" s="1478"/>
      <c r="K348" s="1478"/>
      <c r="L348" s="1478"/>
      <c r="M348" s="1478"/>
      <c r="N348" s="1478"/>
      <c r="O348" s="1478"/>
      <c r="P348" s="1478"/>
      <c r="Q348" s="1478"/>
      <c r="R348" s="1478"/>
      <c r="S348" s="1478"/>
      <c r="T348" s="1478"/>
      <c r="U348" s="1478"/>
      <c r="V348" s="1478"/>
      <c r="W348" s="1478"/>
      <c r="X348" s="1478"/>
      <c r="Y348" s="1478"/>
      <c r="Z348" s="1478"/>
      <c r="AA348" s="1478"/>
      <c r="AB348" s="1478"/>
      <c r="AC348" s="1478"/>
      <c r="AD348" s="1478"/>
      <c r="AE348" s="1478"/>
      <c r="AF348" s="1478"/>
      <c r="AG348" s="1478"/>
      <c r="AH348" s="1478"/>
      <c r="AI348" s="1478"/>
      <c r="AJ348" s="1478"/>
      <c r="AK348" s="1478"/>
    </row>
    <row r="349" spans="2:37">
      <c r="B349" s="2"/>
      <c r="E349" s="3"/>
      <c r="F349" s="1478"/>
      <c r="G349" s="1478"/>
      <c r="H349" s="1478"/>
      <c r="I349" s="1478"/>
      <c r="J349" s="1478"/>
      <c r="K349" s="1478"/>
      <c r="L349" s="1478"/>
      <c r="M349" s="1478"/>
      <c r="N349" s="1478"/>
      <c r="O349" s="1478"/>
      <c r="P349" s="1478"/>
      <c r="Q349" s="1478"/>
      <c r="R349" s="1478"/>
      <c r="S349" s="1478"/>
      <c r="T349" s="1478"/>
      <c r="U349" s="1478"/>
      <c r="V349" s="1478"/>
      <c r="W349" s="1478"/>
      <c r="X349" s="1478"/>
      <c r="Y349" s="1478"/>
      <c r="Z349" s="1478"/>
      <c r="AA349" s="1478"/>
      <c r="AB349" s="1478"/>
      <c r="AC349" s="1478"/>
      <c r="AD349" s="1478"/>
      <c r="AE349" s="1478"/>
      <c r="AF349" s="1478"/>
      <c r="AG349" s="1478"/>
      <c r="AH349" s="1478"/>
      <c r="AI349" s="1478"/>
      <c r="AJ349" s="1478"/>
      <c r="AK349" s="1478"/>
    </row>
    <row r="350" spans="2:37">
      <c r="B350" s="2"/>
      <c r="E350" s="3" t="s">
        <v>113</v>
      </c>
      <c r="F350" s="1478" t="s">
        <v>1234</v>
      </c>
      <c r="G350" s="1478"/>
      <c r="H350" s="1478"/>
      <c r="I350" s="1478"/>
      <c r="J350" s="1478"/>
      <c r="K350" s="1478"/>
      <c r="L350" s="1478"/>
      <c r="M350" s="1478"/>
      <c r="N350" s="1478"/>
      <c r="O350" s="1478"/>
      <c r="P350" s="1478"/>
      <c r="Q350" s="1478"/>
      <c r="R350" s="1478"/>
      <c r="S350" s="1478"/>
      <c r="T350" s="1478"/>
      <c r="U350" s="1478"/>
      <c r="V350" s="1478"/>
      <c r="W350" s="1478"/>
      <c r="X350" s="1478"/>
      <c r="Y350" s="1478"/>
      <c r="Z350" s="1478"/>
      <c r="AA350" s="1478"/>
      <c r="AB350" s="1478"/>
      <c r="AC350" s="1478"/>
      <c r="AD350" s="1478"/>
      <c r="AE350" s="1478"/>
      <c r="AF350" s="1478"/>
      <c r="AG350" s="1478"/>
      <c r="AH350" s="1478"/>
      <c r="AI350" s="1478"/>
      <c r="AJ350" s="1478"/>
      <c r="AK350" s="1478"/>
    </row>
    <row r="351" spans="2:37">
      <c r="B351" s="2"/>
      <c r="F351" s="1478"/>
      <c r="G351" s="1478"/>
      <c r="H351" s="1478"/>
      <c r="I351" s="1478"/>
      <c r="J351" s="1478"/>
      <c r="K351" s="1478"/>
      <c r="L351" s="1478"/>
      <c r="M351" s="1478"/>
      <c r="N351" s="1478"/>
      <c r="O351" s="1478"/>
      <c r="P351" s="1478"/>
      <c r="Q351" s="1478"/>
      <c r="R351" s="1478"/>
      <c r="S351" s="1478"/>
      <c r="T351" s="1478"/>
      <c r="U351" s="1478"/>
      <c r="V351" s="1478"/>
      <c r="W351" s="1478"/>
      <c r="X351" s="1478"/>
      <c r="Y351" s="1478"/>
      <c r="Z351" s="1478"/>
      <c r="AA351" s="1478"/>
      <c r="AB351" s="1478"/>
      <c r="AC351" s="1478"/>
      <c r="AD351" s="1478"/>
      <c r="AE351" s="1478"/>
      <c r="AF351" s="1478"/>
      <c r="AG351" s="1478"/>
      <c r="AH351" s="1478"/>
      <c r="AI351" s="1478"/>
      <c r="AJ351" s="1478"/>
      <c r="AK351" s="1478"/>
    </row>
    <row r="352" spans="2:37">
      <c r="B352" s="2"/>
      <c r="F352" s="1478"/>
      <c r="G352" s="1478"/>
      <c r="H352" s="1478"/>
      <c r="I352" s="1478"/>
      <c r="J352" s="1478"/>
      <c r="K352" s="1478"/>
      <c r="L352" s="1478"/>
      <c r="M352" s="1478"/>
      <c r="N352" s="1478"/>
      <c r="O352" s="1478"/>
      <c r="P352" s="1478"/>
      <c r="Q352" s="1478"/>
      <c r="R352" s="1478"/>
      <c r="S352" s="1478"/>
      <c r="T352" s="1478"/>
      <c r="U352" s="1478"/>
      <c r="V352" s="1478"/>
      <c r="W352" s="1478"/>
      <c r="X352" s="1478"/>
      <c r="Y352" s="1478"/>
      <c r="Z352" s="1478"/>
      <c r="AA352" s="1478"/>
      <c r="AB352" s="1478"/>
      <c r="AC352" s="1478"/>
      <c r="AD352" s="1478"/>
      <c r="AE352" s="1478"/>
      <c r="AF352" s="1478"/>
      <c r="AG352" s="1478"/>
      <c r="AH352" s="1478"/>
      <c r="AI352" s="1478"/>
      <c r="AJ352" s="1478"/>
      <c r="AK352" s="1478"/>
    </row>
    <row r="353" spans="1:38">
      <c r="B353" s="2"/>
      <c r="F353" s="4"/>
      <c r="H353" s="4"/>
      <c r="I353" s="4"/>
      <c r="J353" s="4"/>
      <c r="K353" s="4"/>
      <c r="L353" s="4"/>
      <c r="M353" s="4"/>
      <c r="N353" s="4"/>
      <c r="O353" s="4"/>
      <c r="P353" s="4"/>
      <c r="Q353" s="4"/>
      <c r="R353" s="4"/>
      <c r="S353" s="4"/>
    </row>
    <row r="354" spans="1:38">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805" t="s">
        <v>1224</v>
      </c>
      <c r="F365" s="1805"/>
      <c r="G365" s="1805"/>
      <c r="H365" s="1805"/>
      <c r="I365" s="1805"/>
      <c r="J365" s="1805"/>
      <c r="K365" s="1805"/>
      <c r="L365" s="1805"/>
      <c r="M365" s="1805"/>
      <c r="N365" s="1805"/>
      <c r="O365" s="1805"/>
      <c r="P365" s="1805"/>
      <c r="Q365" s="1805"/>
      <c r="R365" s="1805"/>
      <c r="S365" s="1805"/>
      <c r="T365" s="1805"/>
      <c r="U365" s="1805"/>
      <c r="V365" s="1805"/>
      <c r="W365" s="1805"/>
      <c r="X365" s="1805"/>
      <c r="Y365" s="1805"/>
      <c r="Z365" s="1805"/>
      <c r="AA365" s="1805"/>
      <c r="AB365" s="1805"/>
      <c r="AC365" s="1805"/>
      <c r="AD365" s="1805"/>
      <c r="AE365" s="1805"/>
      <c r="AF365" s="1805"/>
      <c r="AG365" s="1805"/>
      <c r="AH365" s="1805"/>
      <c r="AI365" s="1805"/>
      <c r="AJ365" s="1805"/>
      <c r="AK365" s="1805"/>
      <c r="AL365" s="1805"/>
    </row>
    <row r="366" spans="1:38">
      <c r="B366" s="2"/>
      <c r="E366" s="1805"/>
      <c r="F366" s="1805"/>
      <c r="G366" s="1805"/>
      <c r="H366" s="1805"/>
      <c r="I366" s="1805"/>
      <c r="J366" s="1805"/>
      <c r="K366" s="1805"/>
      <c r="L366" s="1805"/>
      <c r="M366" s="1805"/>
      <c r="N366" s="1805"/>
      <c r="O366" s="1805"/>
      <c r="P366" s="1805"/>
      <c r="Q366" s="1805"/>
      <c r="R366" s="1805"/>
      <c r="S366" s="1805"/>
      <c r="T366" s="1805"/>
      <c r="U366" s="1805"/>
      <c r="V366" s="1805"/>
      <c r="W366" s="1805"/>
      <c r="X366" s="1805"/>
      <c r="Y366" s="1805"/>
      <c r="Z366" s="1805"/>
      <c r="AA366" s="1805"/>
      <c r="AB366" s="1805"/>
      <c r="AC366" s="1805"/>
      <c r="AD366" s="1805"/>
      <c r="AE366" s="1805"/>
      <c r="AF366" s="1805"/>
      <c r="AG366" s="1805"/>
      <c r="AH366" s="1805"/>
      <c r="AI366" s="1805"/>
      <c r="AJ366" s="1805"/>
      <c r="AK366" s="1805"/>
      <c r="AL366" s="1805"/>
    </row>
    <row r="367" spans="1:38" s="1806" customFormat="1">
      <c r="A367"/>
      <c r="B367" s="2"/>
      <c r="C367"/>
      <c r="D367"/>
      <c r="E367" s="1500" t="s">
        <v>1256</v>
      </c>
    </row>
    <row r="368" spans="1:38" s="180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339</v>
      </c>
      <c r="E370" s="2" t="s">
        <v>566</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572</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512</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78" t="s">
        <v>1267</v>
      </c>
      <c r="G386" s="1478"/>
      <c r="H386" s="1478"/>
      <c r="I386" s="1478"/>
      <c r="J386" s="1478"/>
      <c r="K386" s="1478"/>
      <c r="L386" s="1478"/>
      <c r="M386" s="1478"/>
      <c r="N386" s="1478"/>
      <c r="O386" s="1478"/>
      <c r="P386" s="1478"/>
      <c r="Q386" s="1478"/>
      <c r="R386" s="1478"/>
      <c r="S386" s="1478"/>
      <c r="T386" s="1478"/>
      <c r="U386" s="1478"/>
      <c r="V386" s="1478"/>
      <c r="W386" s="1478"/>
      <c r="X386" s="1478"/>
      <c r="Y386" s="1478"/>
      <c r="Z386" s="1478"/>
      <c r="AA386" s="1478"/>
      <c r="AB386" s="1478"/>
      <c r="AC386" s="1478"/>
      <c r="AD386" s="1478"/>
      <c r="AE386" s="1478"/>
      <c r="AF386" s="1478"/>
      <c r="AG386" s="1478"/>
      <c r="AH386" s="1478"/>
      <c r="AI386" s="1478"/>
      <c r="AJ386" s="1478"/>
      <c r="AK386" s="1478"/>
    </row>
    <row r="387" spans="1:38">
      <c r="B387" s="2"/>
      <c r="E387" s="3"/>
      <c r="F387" s="1478"/>
      <c r="G387" s="1478"/>
      <c r="H387" s="1478"/>
      <c r="I387" s="1478"/>
      <c r="J387" s="1478"/>
      <c r="K387" s="1478"/>
      <c r="L387" s="1478"/>
      <c r="M387" s="1478"/>
      <c r="N387" s="1478"/>
      <c r="O387" s="1478"/>
      <c r="P387" s="1478"/>
      <c r="Q387" s="1478"/>
      <c r="R387" s="1478"/>
      <c r="S387" s="1478"/>
      <c r="T387" s="1478"/>
      <c r="U387" s="1478"/>
      <c r="V387" s="1478"/>
      <c r="W387" s="1478"/>
      <c r="X387" s="1478"/>
      <c r="Y387" s="1478"/>
      <c r="Z387" s="1478"/>
      <c r="AA387" s="1478"/>
      <c r="AB387" s="1478"/>
      <c r="AC387" s="1478"/>
      <c r="AD387" s="1478"/>
      <c r="AE387" s="1478"/>
      <c r="AF387" s="1478"/>
      <c r="AG387" s="1478"/>
      <c r="AH387" s="1478"/>
      <c r="AI387" s="1478"/>
      <c r="AJ387" s="1478"/>
      <c r="AK387" s="1478"/>
    </row>
    <row r="388" spans="1:38">
      <c r="B388" s="2"/>
      <c r="E388" s="3"/>
      <c r="F388" s="1478"/>
      <c r="G388" s="1478"/>
      <c r="H388" s="1478"/>
      <c r="I388" s="1478"/>
      <c r="J388" s="1478"/>
      <c r="K388" s="1478"/>
      <c r="L388" s="1478"/>
      <c r="M388" s="1478"/>
      <c r="N388" s="1478"/>
      <c r="O388" s="1478"/>
      <c r="P388" s="1478"/>
      <c r="Q388" s="1478"/>
      <c r="R388" s="1478"/>
      <c r="S388" s="1478"/>
      <c r="T388" s="1478"/>
      <c r="U388" s="1478"/>
      <c r="V388" s="1478"/>
      <c r="W388" s="1478"/>
      <c r="X388" s="1478"/>
      <c r="Y388" s="1478"/>
      <c r="Z388" s="1478"/>
      <c r="AA388" s="1478"/>
      <c r="AB388" s="1478"/>
      <c r="AC388" s="1478"/>
      <c r="AD388" s="1478"/>
      <c r="AE388" s="1478"/>
      <c r="AF388" s="1478"/>
      <c r="AG388" s="1478"/>
      <c r="AH388" s="1478"/>
      <c r="AI388" s="1478"/>
      <c r="AJ388" s="1478"/>
      <c r="AK388" s="147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427</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sqref="A1:J1"/>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0" t="s">
        <v>1572</v>
      </c>
      <c r="B1" s="2660"/>
      <c r="C1" s="2660"/>
      <c r="D1" s="2660"/>
      <c r="E1" s="2660"/>
      <c r="F1" s="2660"/>
      <c r="G1" s="2660"/>
      <c r="H1" s="2660"/>
      <c r="I1" s="2660"/>
      <c r="J1" s="2660"/>
    </row>
    <row r="2" spans="1:13" ht="15" customHeight="1" thickBot="1">
      <c r="A2" s="1041"/>
      <c r="B2" s="1041"/>
      <c r="I2" s="1042"/>
      <c r="K2" s="1043"/>
    </row>
    <row r="3" spans="1:13" s="1046" customFormat="1" ht="20.100000000000001" customHeight="1">
      <c r="A3" s="1094"/>
      <c r="B3" s="1095"/>
      <c r="C3" s="1096"/>
      <c r="D3" s="1101"/>
      <c r="E3" s="1096"/>
      <c r="F3" s="1097" t="s">
        <v>1960</v>
      </c>
      <c r="G3" s="1096"/>
      <c r="H3" s="1098">
        <f>E18</f>
        <v>76354608</v>
      </c>
      <c r="I3" s="1099"/>
    </row>
    <row r="4" spans="1:13" s="1046" customFormat="1" ht="20.100000000000001" customHeight="1">
      <c r="B4" s="1088"/>
      <c r="D4" s="1102"/>
      <c r="F4" s="1087" t="s">
        <v>1962</v>
      </c>
      <c r="G4" s="1086" t="s">
        <v>1961</v>
      </c>
      <c r="H4" s="1201">
        <f>I18</f>
        <v>44363142.857142858</v>
      </c>
      <c r="I4" s="1089"/>
      <c r="K4" s="1050"/>
    </row>
    <row r="5" spans="1:13" s="1046" customFormat="1" ht="20.100000000000001" customHeight="1" thickBot="1">
      <c r="B5" s="1090"/>
      <c r="C5" s="1091"/>
      <c r="D5" s="1103"/>
      <c r="E5" s="1092"/>
      <c r="F5" s="1103" t="s">
        <v>1912</v>
      </c>
      <c r="G5" s="1104"/>
      <c r="H5" s="1100">
        <f>IFERROR(H3/H4,0)</f>
        <v>1.7211271132407211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3" t="s">
        <v>1910</v>
      </c>
      <c r="C8" s="2664"/>
      <c r="D8" s="2664"/>
      <c r="E8" s="2665"/>
      <c r="G8" s="2644" t="s">
        <v>1911</v>
      </c>
      <c r="H8" s="2645"/>
      <c r="I8" s="2646"/>
      <c r="K8" s="1052"/>
    </row>
    <row r="9" spans="1:13" ht="15" customHeight="1">
      <c r="A9" s="1041"/>
      <c r="B9" s="2661" t="s">
        <v>1944</v>
      </c>
      <c r="C9" s="2661"/>
      <c r="D9" s="2661"/>
      <c r="E9" s="1054">
        <f>G33</f>
        <v>15825000</v>
      </c>
      <c r="G9" s="2657" t="s">
        <v>1942</v>
      </c>
      <c r="H9" s="2657"/>
      <c r="I9" s="1055">
        <f>MAX(SUMIF(Application!M562:M573,"Loan, Tax-Exempt",Application!AM562:AM573),27.5%*SUM('Sources and Uses Budget'!C8,'Sources and Uses Budget'!S105,'Sources and Uses Budget'!T105))</f>
        <v>30800000</v>
      </c>
      <c r="K9" s="1056"/>
      <c r="M9" s="1057"/>
    </row>
    <row r="10" spans="1:13" ht="15" customHeight="1" thickBot="1">
      <c r="A10" s="1041"/>
      <c r="B10" s="2661" t="s">
        <v>1945</v>
      </c>
      <c r="C10" s="2661"/>
      <c r="D10" s="2661"/>
      <c r="E10" s="1055">
        <f>G47</f>
        <v>49288607.999999993</v>
      </c>
      <c r="G10" s="2659" t="s">
        <v>1913</v>
      </c>
      <c r="H10" s="2659"/>
      <c r="I10" s="1134">
        <f>IF(OR(Application!Z205="State Farmworker Credit",Application!Z205="$500M (Farmworker Housing)"),0,'Basis &amp; Credits'!AB78)</f>
        <v>13000000</v>
      </c>
      <c r="M10" s="1057"/>
    </row>
    <row r="11" spans="1:13" ht="15" customHeight="1">
      <c r="A11" s="1041"/>
      <c r="B11" s="2667" t="s">
        <v>2207</v>
      </c>
      <c r="C11" s="2668"/>
      <c r="D11" s="2669"/>
      <c r="E11" s="1055">
        <f>SUM(E13,E12)</f>
        <v>480000</v>
      </c>
      <c r="G11" s="2666" t="s">
        <v>1953</v>
      </c>
      <c r="H11" s="2666"/>
      <c r="I11" s="1133">
        <f>I9+I10</f>
        <v>43800000</v>
      </c>
      <c r="M11" s="1057"/>
    </row>
    <row r="12" spans="1:13" ht="15" customHeight="1">
      <c r="A12" s="1058"/>
      <c r="B12" s="2662" t="s">
        <v>2566</v>
      </c>
      <c r="C12" s="2662"/>
      <c r="D12" s="2662"/>
      <c r="E12" s="1158">
        <f>G56</f>
        <v>480000</v>
      </c>
      <c r="M12" s="1057"/>
    </row>
    <row r="13" spans="1:13" ht="15" customHeight="1">
      <c r="A13" s="1044"/>
      <c r="B13" s="2662" t="s">
        <v>2567</v>
      </c>
      <c r="C13" s="2662"/>
      <c r="D13" s="2662"/>
      <c r="E13" s="1158">
        <f>IF(G67,MAX(G65,G79),G65)</f>
        <v>0</v>
      </c>
      <c r="G13" s="2644" t="s">
        <v>1976</v>
      </c>
      <c r="H13" s="2645"/>
      <c r="I13" s="2646"/>
    </row>
    <row r="14" spans="1:13" ht="15" customHeight="1">
      <c r="A14" s="1044"/>
      <c r="B14" s="2667" t="s">
        <v>2208</v>
      </c>
      <c r="C14" s="2668"/>
      <c r="D14" s="2669"/>
      <c r="E14" s="1160">
        <f>MAX(E15,E16)+E17</f>
        <v>10761000</v>
      </c>
      <c r="G14" s="2657" t="s">
        <v>2583</v>
      </c>
      <c r="H14" s="2657"/>
      <c r="I14" s="1059">
        <f>IF(AND(G134="Yes",G136&lt;&gt;""),IF(OR(G141="Yes",G145="Yes"),18%,15%),0)</f>
        <v>0</v>
      </c>
      <c r="M14" s="1057"/>
    </row>
    <row r="15" spans="1:13" ht="15" customHeight="1">
      <c r="A15" s="1044"/>
      <c r="B15" s="2641" t="s">
        <v>2580</v>
      </c>
      <c r="C15" s="2642"/>
      <c r="D15" s="2643"/>
      <c r="E15" s="1158">
        <f>G94</f>
        <v>9495000</v>
      </c>
      <c r="G15" s="1131" t="s">
        <v>1954</v>
      </c>
      <c r="H15" s="1131"/>
      <c r="I15" s="1059">
        <f>IF(Application!AJ1041&gt;0,10%,IF(Application!AJ1045&gt;0,5%,0))</f>
        <v>0</v>
      </c>
      <c r="M15" s="1057"/>
    </row>
    <row r="16" spans="1:13" ht="15" customHeight="1">
      <c r="A16" s="1044"/>
      <c r="B16" s="2641" t="s">
        <v>2581</v>
      </c>
      <c r="C16" s="2642"/>
      <c r="D16" s="2643"/>
      <c r="E16" s="1158">
        <f>G104</f>
        <v>0</v>
      </c>
      <c r="G16" s="2657" t="s">
        <v>1955</v>
      </c>
      <c r="H16" s="2657"/>
      <c r="I16" s="1059">
        <f>G155</f>
        <v>-1.2857142857142857E-2</v>
      </c>
    </row>
    <row r="17" spans="1:21" ht="15" customHeight="1" thickBot="1">
      <c r="A17" s="1044"/>
      <c r="B17" s="2641" t="s">
        <v>2582</v>
      </c>
      <c r="C17" s="2642"/>
      <c r="D17" s="2643"/>
      <c r="E17" s="1158">
        <f>G129</f>
        <v>1266000</v>
      </c>
      <c r="G17" s="2657" t="s">
        <v>2216</v>
      </c>
      <c r="H17" s="2657"/>
      <c r="I17" s="1059">
        <f>IF(AND(G161="Yes",G159),IF(G165&gt;15%,15%,G165),0)</f>
        <v>0</v>
      </c>
    </row>
    <row r="18" spans="1:21" ht="15" customHeight="1">
      <c r="A18" s="1041"/>
      <c r="B18" s="2658" t="s">
        <v>1909</v>
      </c>
      <c r="C18" s="2658"/>
      <c r="D18" s="2658"/>
      <c r="E18" s="1105">
        <f>SUM(E9:E11,E14)</f>
        <v>76354608</v>
      </c>
      <c r="G18" s="1132" t="s">
        <v>1943</v>
      </c>
      <c r="H18" s="1132"/>
      <c r="I18" s="1106">
        <f>I11-((I11*I14)+(I11*I15)+(I11*I16)+(I11*I17))</f>
        <v>44363142.857142858</v>
      </c>
      <c r="M18" s="1060">
        <f>SUM(Cdlac[Quantity])</f>
        <v>237</v>
      </c>
      <c r="O18" s="1079" t="s">
        <v>580</v>
      </c>
      <c r="P18" s="1039">
        <f>MATCH(Application!T189,Application!CB160:CB217,0)</f>
        <v>33</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383</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18</v>
      </c>
      <c r="N20" s="1066">
        <f>Application!AC726</f>
        <v>0.3</v>
      </c>
      <c r="O20" s="1066">
        <f>IF(Cdlac[[#This Row],[Quantity]]&gt;0,IF(Cdlac[[#This Row],[Federal]],30%,IF(AND(OR(NOT($G$38),$G$38=""),$G$43),40%,Cdlac[[#This Row],[iAMI]])),"")</f>
        <v>0.3</v>
      </c>
      <c r="P20" s="1060" cm="1">
        <f t="array" ref="P20">IF(Cdlac[[#This Row],[Quantity]]&gt;0,INDEX(TcacRents,$P$18,Cdlac[[#This Row],[Bedrooms]]+1)*Cdlac[[#This Row],[AMI]],"")</f>
        <v>629.4</v>
      </c>
      <c r="Q20" s="1157"/>
      <c r="R20" s="1060" cm="1">
        <f t="array" ref="R20">IF(Cdlac[[#This Row],[Quantity]]&gt;0,INDEX(HudFmrs,$P$18,Cdlac[[#This Row],[Bedrooms]]+1),"")</f>
        <v>1852</v>
      </c>
      <c r="S20" s="1060">
        <f>IF(Cdlac[[#This Row],[Quantity]]&gt;0,MAX(0,Cdlac[[#This Row],[Fair Market Rent]]-IF(AND($G$37,$G$38,$G$38&lt;&gt;"",NOT(Cdlac[[#This Row],[Federal]]),Cdlac[[#This Row],[Preservation Rent]]&lt;&gt;""),Cdlac[[#This Row],[Preservation Rent]],Cdlac[[#This Row],[Restricted Rent]])),"")</f>
        <v>1222.5999999999999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4</v>
      </c>
      <c r="N21" s="1066">
        <f>Application!AC727</f>
        <v>0.5</v>
      </c>
      <c r="O21" s="1066">
        <f>IF(Cdlac[[#This Row],[Quantity]]&gt;0,IF(Cdlac[[#This Row],[Federal]],30%,IF(AND(OR(NOT($G$38),$G$38=""),$G$43),40%,Cdlac[[#This Row],[iAMI]])),"")</f>
        <v>0.5</v>
      </c>
      <c r="P21" s="1060" cm="1">
        <f t="array" ref="P21">IF(Cdlac[[#This Row],[Quantity]]&gt;0,INDEX(TcacRents,$P$18,Cdlac[[#This Row],[Bedrooms]]+1)*Cdlac[[#This Row],[AMI]],"")</f>
        <v>1049</v>
      </c>
      <c r="Q21" s="1157"/>
      <c r="R21" s="1060" cm="1">
        <f t="array" ref="R21">IF(Cdlac[[#This Row],[Quantity]]&gt;0,INDEX(HudFmrs,$P$18,Cdlac[[#This Row],[Bedrooms]]+1),"")</f>
        <v>1852</v>
      </c>
      <c r="S21" s="1060">
        <f>IF(Cdlac[[#This Row],[Quantity]]&gt;0,MAX(0,Cdlac[[#This Row],[Fair Market Rent]]-IF(AND($G$37,$G$38,$G$38&lt;&gt;"",NOT(Cdlac[[#This Row],[Federal]]),Cdlac[[#This Row],[Preservation Rent]]&lt;&gt;""),Cdlac[[#This Row],[Preservation Rent]],Cdlac[[#This Row],[Restricted Rent]])),"")</f>
        <v>803</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8" t="s">
        <v>1957</v>
      </c>
      <c r="D22" s="2648" t="s">
        <v>1958</v>
      </c>
      <c r="E22" s="2648" t="s">
        <v>1959</v>
      </c>
      <c r="F22" s="2648" t="s">
        <v>2531</v>
      </c>
      <c r="G22" s="2648" t="s">
        <v>1956</v>
      </c>
      <c r="H22" s="1065"/>
      <c r="I22" s="1064"/>
      <c r="L22" s="1039">
        <f>IFERROR(MIN(4,MATCH(Application!B728,UnitSizes,0)-1),"")</f>
        <v>1</v>
      </c>
      <c r="M22" s="1060">
        <f>Application!G728</f>
        <v>14</v>
      </c>
      <c r="N22" s="1066">
        <f>Application!AC728</f>
        <v>0.6</v>
      </c>
      <c r="O22" s="1066">
        <f>IF(Cdlac[[#This Row],[Quantity]]&gt;0,IF(Cdlac[[#This Row],[Federal]],30%,IF(AND(OR(NOT($G$38),$G$38=""),$G$43),40%,Cdlac[[#This Row],[iAMI]])),"")</f>
        <v>0.6</v>
      </c>
      <c r="P22" s="1060" cm="1">
        <f t="array" ref="P22">IF(Cdlac[[#This Row],[Quantity]]&gt;0,INDEX(TcacRents,$P$18,Cdlac[[#This Row],[Bedrooms]]+1)*Cdlac[[#This Row],[AMI]],"")</f>
        <v>1258.8</v>
      </c>
      <c r="Q22" s="1157"/>
      <c r="R22" s="1060" cm="1">
        <f t="array" ref="R22">IF(Cdlac[[#This Row],[Quantity]]&gt;0,INDEX(HudFmrs,$P$18,Cdlac[[#This Row],[Bedrooms]]+1),"")</f>
        <v>1852</v>
      </c>
      <c r="S22" s="1060">
        <f>IF(Cdlac[[#This Row],[Quantity]]&gt;0,MAX(0,Cdlac[[#This Row],[Fair Market Rent]]-IF(AND($G$37,$G$38,$G$38&lt;&gt;"",NOT(Cdlac[[#This Row],[Federal]]),Cdlac[[#This Row],[Preservation Rent]]&lt;&gt;""),Cdlac[[#This Row],[Preservation Rent]],Cdlac[[#This Row],[Restricted Rent]])),"")</f>
        <v>593.20000000000005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9"/>
      <c r="D23" s="2649"/>
      <c r="E23" s="2649"/>
      <c r="F23" s="2649"/>
      <c r="G23" s="2649"/>
      <c r="H23" s="1065"/>
      <c r="I23" s="1064"/>
      <c r="L23" s="1039">
        <f>IFERROR(MIN(4,MATCH(Application!B729,UnitSizes,0)-1),"")</f>
        <v>2</v>
      </c>
      <c r="M23" s="1060">
        <f>Application!G729</f>
        <v>2</v>
      </c>
      <c r="N23" s="1066">
        <f>Application!AC729</f>
        <v>0.3</v>
      </c>
      <c r="O23" s="1066">
        <f>IF(Cdlac[[#This Row],[Quantity]]&gt;0,IF(Cdlac[[#This Row],[Federal]],30%,IF(AND(OR(NOT($G$38),$G$38=""),$G$43),40%,Cdlac[[#This Row],[iAMI]])),"")</f>
        <v>0.3</v>
      </c>
      <c r="P23" s="1060" cm="1">
        <f t="array" ref="P23">IF(Cdlac[[#This Row],[Quantity]]&gt;0,INDEX(TcacRents,$P$18,Cdlac[[#This Row],[Bedrooms]]+1)*Cdlac[[#This Row],[AMI]],"")</f>
        <v>754.8</v>
      </c>
      <c r="Q23" s="1157"/>
      <c r="R23" s="1060" cm="1">
        <f t="array" ref="R23">IF(Cdlac[[#This Row],[Quantity]]&gt;0,INDEX(HudFmrs,$P$18,Cdlac[[#This Row],[Bedrooms]]+1),"")</f>
        <v>2306</v>
      </c>
      <c r="S23" s="1060">
        <f>IF(Cdlac[[#This Row],[Quantity]]&gt;0,MAX(0,Cdlac[[#This Row],[Fair Market Rent]]-IF(AND($G$37,$G$38,$G$38&lt;&gt;"",NOT(Cdlac[[#This Row],[Federal]]),Cdlac[[#This Row],[Preservation Rent]]&lt;&gt;""),Cdlac[[#This Row],[Preservation Rent]],Cdlac[[#This Row],[Restricted Rent]])),"")</f>
        <v>1551.2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8</v>
      </c>
      <c r="N24" s="1066">
        <f>Application!AC730</f>
        <v>0.5</v>
      </c>
      <c r="O24" s="1066">
        <f>IF(Cdlac[[#This Row],[Quantity]]&gt;0,IF(Cdlac[[#This Row],[Federal]],30%,IF(AND(OR(NOT($G$38),$G$38=""),$G$43),40%,Cdlac[[#This Row],[iAMI]])),"")</f>
        <v>0.5</v>
      </c>
      <c r="P24" s="1060" cm="1">
        <f t="array" ref="P24">IF(Cdlac[[#This Row],[Quantity]]&gt;0,INDEX(TcacRents,$P$18,Cdlac[[#This Row],[Bedrooms]]+1)*Cdlac[[#This Row],[AMI]],"")</f>
        <v>1258</v>
      </c>
      <c r="Q24" s="1157"/>
      <c r="R24" s="1060" cm="1">
        <f t="array" ref="R24">IF(Cdlac[[#This Row],[Quantity]]&gt;0,INDEX(HudFmrs,$P$18,Cdlac[[#This Row],[Bedrooms]]+1),"")</f>
        <v>2306</v>
      </c>
      <c r="S24" s="1060">
        <f>IF(Cdlac[[#This Row],[Quantity]]&gt;0,MAX(0,Cdlac[[#This Row],[Fair Market Rent]]-IF(AND($G$37,$G$38,$G$38&lt;&gt;"",NOT(Cdlac[[#This Row],[Federal]]),Cdlac[[#This Row],[Preservation Rent]]&lt;&gt;""),Cdlac[[#This Row],[Preservation Rent]],Cdlac[[#This Row],[Restricted Rent]])),"")</f>
        <v>1048</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36</v>
      </c>
      <c r="F25" s="1067">
        <f>E25</f>
        <v>36</v>
      </c>
      <c r="G25" s="1067">
        <f>D25*F25</f>
        <v>36</v>
      </c>
      <c r="L25" s="1039">
        <f>IFERROR(MIN(4,MATCH(Application!B731,UnitSizes,0)-1),"")</f>
        <v>2</v>
      </c>
      <c r="M25" s="1060">
        <f>Application!G731</f>
        <v>65</v>
      </c>
      <c r="N25" s="1066">
        <f>Application!AC731</f>
        <v>0.6</v>
      </c>
      <c r="O25" s="1066">
        <f>IF(Cdlac[[#This Row],[Quantity]]&gt;0,IF(Cdlac[[#This Row],[Federal]],30%,IF(AND(OR(NOT($G$38),$G$38=""),$G$43),40%,Cdlac[[#This Row],[iAMI]])),"")</f>
        <v>0.6</v>
      </c>
      <c r="P25" s="1060" cm="1">
        <f t="array" ref="P25">IF(Cdlac[[#This Row],[Quantity]]&gt;0,INDEX(TcacRents,$P$18,Cdlac[[#This Row],[Bedrooms]]+1)*Cdlac[[#This Row],[AMI]],"")</f>
        <v>1509.6</v>
      </c>
      <c r="Q25" s="1157"/>
      <c r="R25" s="1060" cm="1">
        <f t="array" ref="R25">IF(Cdlac[[#This Row],[Quantity]]&gt;0,INDEX(HudFmrs,$P$18,Cdlac[[#This Row],[Bedrooms]]+1),"")</f>
        <v>2306</v>
      </c>
      <c r="S25" s="1060">
        <f>IF(Cdlac[[#This Row],[Quantity]]&gt;0,MAX(0,Cdlac[[#This Row],[Fair Market Rent]]-IF(AND($G$37,$G$38,$G$38&lt;&gt;"",NOT(Cdlac[[#This Row],[Federal]]),Cdlac[[#This Row],[Preservation Rent]]&lt;&gt;""),Cdlac[[#This Row],[Preservation Rent]],Cdlac[[#This Row],[Restricted Rent]])),"")</f>
        <v>796.40000000000009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83</v>
      </c>
      <c r="F26" s="1070">
        <f>SUM(E26:E28)-SUM(F27:F28)</f>
        <v>107</v>
      </c>
      <c r="G26" s="1067">
        <f>D26*F26</f>
        <v>133.75</v>
      </c>
      <c r="H26" s="1069"/>
      <c r="I26" s="1069"/>
      <c r="L26" s="1039">
        <f>IFERROR(MIN(4,MATCH(Application!B732,UnitSizes,0)-1),"")</f>
        <v>2</v>
      </c>
      <c r="M26" s="1060">
        <f>Application!G732</f>
        <v>8</v>
      </c>
      <c r="N26" s="1066">
        <f>Application!AC732</f>
        <v>0.7</v>
      </c>
      <c r="O26" s="1066">
        <f>IF(Cdlac[[#This Row],[Quantity]]&gt;0,IF(Cdlac[[#This Row],[Federal]],30%,IF(AND(OR(NOT($G$38),$G$38=""),$G$43),40%,Cdlac[[#This Row],[iAMI]])),"")</f>
        <v>0.7</v>
      </c>
      <c r="P26" s="1060" cm="1">
        <f t="array" ref="P26">IF(Cdlac[[#This Row],[Quantity]]&gt;0,INDEX(TcacRents,$P$18,Cdlac[[#This Row],[Bedrooms]]+1)*Cdlac[[#This Row],[AMI]],"")</f>
        <v>1761.1999999999998</v>
      </c>
      <c r="Q26" s="1157"/>
      <c r="R26" s="1060" cm="1">
        <f t="array" ref="R26">IF(Cdlac[[#This Row],[Quantity]]&gt;0,INDEX(HudFmrs,$P$18,Cdlac[[#This Row],[Bedrooms]]+1),"")</f>
        <v>2306</v>
      </c>
      <c r="S26" s="1060">
        <f>IF(Cdlac[[#This Row],[Quantity]]&gt;0,MAX(0,Cdlac[[#This Row],[Fair Market Rent]]-IF(AND($G$37,$G$38,$G$38&lt;&gt;"",NOT(Cdlac[[#This Row],[Federal]]),Cdlac[[#This Row],[Preservation Rent]]&lt;&gt;""),Cdlac[[#This Row],[Preservation Rent]],Cdlac[[#This Row],[Restricted Rent]])),"")</f>
        <v>544.80000000000018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82</v>
      </c>
      <c r="F27" s="1070">
        <f>MIN(E27,ROUNDDOWN(E29*30%,0))</f>
        <v>71</v>
      </c>
      <c r="G27" s="1067">
        <f>D27*F27</f>
        <v>106.5</v>
      </c>
      <c r="H27" s="1069"/>
      <c r="I27" s="1069"/>
      <c r="L27" s="1039">
        <f>IFERROR(MIN(4,MATCH(Application!B733,UnitSizes,0)-1),"")</f>
        <v>3</v>
      </c>
      <c r="M27" s="1060">
        <f>Application!G733</f>
        <v>2</v>
      </c>
      <c r="N27" s="1066">
        <f>Application!AC733</f>
        <v>0.3</v>
      </c>
      <c r="O27" s="1066">
        <f>IF(Cdlac[[#This Row],[Quantity]]&gt;0,IF(Cdlac[[#This Row],[Federal]],30%,IF(AND(OR(NOT($G$38),$G$38=""),$G$43),40%,Cdlac[[#This Row],[iAMI]])),"")</f>
        <v>0.3</v>
      </c>
      <c r="P27" s="1060" cm="1">
        <f t="array" ref="P27">IF(Cdlac[[#This Row],[Quantity]]&gt;0,INDEX(TcacRents,$P$18,Cdlac[[#This Row],[Bedrooms]]+1)*Cdlac[[#This Row],[AMI]],"")</f>
        <v>873</v>
      </c>
      <c r="Q27" s="1157"/>
      <c r="R27" s="1060" cm="1">
        <f t="array" ref="R27">IF(Cdlac[[#This Row],[Quantity]]&gt;0,INDEX(HudFmrs,$P$18,Cdlac[[#This Row],[Bedrooms]]+1),"")</f>
        <v>3079</v>
      </c>
      <c r="S27" s="1060">
        <f>IF(Cdlac[[#This Row],[Quantity]]&gt;0,MAX(0,Cdlac[[#This Row],[Fair Market Rent]]-IF(AND($G$37,$G$38,$G$38&lt;&gt;"",NOT(Cdlac[[#This Row],[Federal]]),Cdlac[[#This Row],[Preservation Rent]]&lt;&gt;""),Cdlac[[#This Row],[Preservation Rent]],Cdlac[[#This Row],[Restricted Rent]])),"")</f>
        <v>2206</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36</v>
      </c>
      <c r="F28" s="1081">
        <f>MIN(E28,ROUNDDOWN(E29*10%,0))</f>
        <v>23</v>
      </c>
      <c r="G28" s="1083">
        <f>D28*F28</f>
        <v>40.25</v>
      </c>
      <c r="H28" s="1069"/>
      <c r="I28" s="1069"/>
      <c r="L28" s="1039">
        <f>IFERROR(MIN(4,MATCH(Application!B734,UnitSizes,0)-1),"")</f>
        <v>3</v>
      </c>
      <c r="M28" s="1060">
        <f>Application!G734</f>
        <v>8</v>
      </c>
      <c r="N28" s="1066">
        <f>Application!AC734</f>
        <v>0.5</v>
      </c>
      <c r="O28" s="1066">
        <f>IF(Cdlac[[#This Row],[Quantity]]&gt;0,IF(Cdlac[[#This Row],[Federal]],30%,IF(AND(OR(NOT($G$38),$G$38=""),$G$43),40%,Cdlac[[#This Row],[iAMI]])),"")</f>
        <v>0.5</v>
      </c>
      <c r="P28" s="1060" cm="1">
        <f t="array" ref="P28">IF(Cdlac[[#This Row],[Quantity]]&gt;0,INDEX(TcacRents,$P$18,Cdlac[[#This Row],[Bedrooms]]+1)*Cdlac[[#This Row],[AMI]],"")</f>
        <v>1455</v>
      </c>
      <c r="Q28" s="1157"/>
      <c r="R28" s="1060" cm="1">
        <f t="array" ref="R28">IF(Cdlac[[#This Row],[Quantity]]&gt;0,INDEX(HudFmrs,$P$18,Cdlac[[#This Row],[Bedrooms]]+1),"")</f>
        <v>3079</v>
      </c>
      <c r="S28" s="1060">
        <f>IF(Cdlac[[#This Row],[Quantity]]&gt;0,MAX(0,Cdlac[[#This Row],[Fair Market Rent]]-IF(AND($G$37,$G$38,$G$38&lt;&gt;"",NOT(Cdlac[[#This Row],[Federal]]),Cdlac[[#This Row],[Preservation Rent]]&lt;&gt;""),Cdlac[[#This Row],[Preservation Rent]],Cdlac[[#This Row],[Restricted Rent]])),"")</f>
        <v>1624</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50" t="s">
        <v>1573</v>
      </c>
      <c r="D29" s="2651"/>
      <c r="E29" s="1084">
        <f>SUM(E24:E28)</f>
        <v>237</v>
      </c>
      <c r="F29" s="1084">
        <f>SUM(F24:F28)</f>
        <v>237</v>
      </c>
      <c r="G29" s="1085">
        <f>SUMPRODUCT(D24:D28,F24:F28)</f>
        <v>316.5</v>
      </c>
      <c r="H29" s="1069"/>
      <c r="I29" s="1069"/>
      <c r="L29" s="1039">
        <f>IFERROR(MIN(4,MATCH(Application!B735,UnitSizes,0)-1),"")</f>
        <v>3</v>
      </c>
      <c r="M29" s="1060">
        <f>Application!G735</f>
        <v>60</v>
      </c>
      <c r="N29" s="1066">
        <f>Application!AC735</f>
        <v>0.6</v>
      </c>
      <c r="O29" s="1066">
        <f>IF(Cdlac[[#This Row],[Quantity]]&gt;0,IF(Cdlac[[#This Row],[Federal]],30%,IF(AND(OR(NOT($G$38),$G$38=""),$G$43),40%,Cdlac[[#This Row],[iAMI]])),"")</f>
        <v>0.6</v>
      </c>
      <c r="P29" s="1060" cm="1">
        <f t="array" ref="P29">IF(Cdlac[[#This Row],[Quantity]]&gt;0,INDEX(TcacRents,$P$18,Cdlac[[#This Row],[Bedrooms]]+1)*Cdlac[[#This Row],[AMI]],"")</f>
        <v>1746</v>
      </c>
      <c r="Q29" s="1157"/>
      <c r="R29" s="1060" cm="1">
        <f t="array" ref="R29">IF(Cdlac[[#This Row],[Quantity]]&gt;0,INDEX(HudFmrs,$P$18,Cdlac[[#This Row],[Bedrooms]]+1),"")</f>
        <v>3079</v>
      </c>
      <c r="S29" s="1060">
        <f>IF(Cdlac[[#This Row],[Quantity]]&gt;0,MAX(0,Cdlac[[#This Row],[Fair Market Rent]]-IF(AND($G$37,$G$38,$G$38&lt;&gt;"",NOT(Cdlac[[#This Row],[Federal]]),Cdlac[[#This Row],[Preservation Rent]]&lt;&gt;""),Cdlac[[#This Row],[Preservation Rent]],Cdlac[[#This Row],[Restricted Rent]])),"")</f>
        <v>1333</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12</v>
      </c>
      <c r="N30" s="1066">
        <f>Application!AC736</f>
        <v>0.7</v>
      </c>
      <c r="O30" s="1066">
        <f>IF(Cdlac[[#This Row],[Quantity]]&gt;0,IF(Cdlac[[#This Row],[Federal]],30%,IF(AND(OR(NOT($G$38),$G$38=""),$G$43),40%,Cdlac[[#This Row],[iAMI]])),"")</f>
        <v>0.7</v>
      </c>
      <c r="P30" s="1060" cm="1">
        <f t="array" ref="P30">IF(Cdlac[[#This Row],[Quantity]]&gt;0,INDEX(TcacRents,$P$18,Cdlac[[#This Row],[Bedrooms]]+1)*Cdlac[[#This Row],[AMI]],"")</f>
        <v>2036.9999999999998</v>
      </c>
      <c r="Q30" s="1157"/>
      <c r="R30" s="1060" cm="1">
        <f t="array" ref="R30">IF(Cdlac[[#This Row],[Quantity]]&gt;0,INDEX(HudFmrs,$P$18,Cdlac[[#This Row],[Bedrooms]]+1),"")</f>
        <v>3079</v>
      </c>
      <c r="S30" s="1060">
        <f>IF(Cdlac[[#This Row],[Quantity]]&gt;0,MAX(0,Cdlac[[#This Row],[Fair Market Rent]]-IF(AND($G$37,$G$38,$G$38&lt;&gt;"",NOT(Cdlac[[#This Row],[Federal]]),Cdlac[[#This Row],[Preservation Rent]]&lt;&gt;""),Cdlac[[#This Row],[Preservation Rent]],Cdlac[[#This Row],[Restricted Rent]])),"")</f>
        <v>1042.0000000000002</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316.5</v>
      </c>
      <c r="H31" s="1069"/>
      <c r="I31" s="1069"/>
      <c r="L31" s="1039">
        <f>IFERROR(MIN(4,MATCH(Application!B737,UnitSizes,0)-1),"")</f>
        <v>4</v>
      </c>
      <c r="M31" s="1060">
        <f>Application!G737</f>
        <v>2</v>
      </c>
      <c r="N31" s="1066">
        <f>Application!AC737</f>
        <v>0.3</v>
      </c>
      <c r="O31" s="1066">
        <f>IF(Cdlac[[#This Row],[Quantity]]&gt;0,IF(Cdlac[[#This Row],[Federal]],30%,IF(AND(OR(NOT($G$38),$G$38=""),$G$43),40%,Cdlac[[#This Row],[iAMI]])),"")</f>
        <v>0.3</v>
      </c>
      <c r="P31" s="1060" cm="1">
        <f t="array" ref="P31">IF(Cdlac[[#This Row],[Quantity]]&gt;0,INDEX(TcacRents,$P$18,Cdlac[[#This Row],[Bedrooms]]+1)*Cdlac[[#This Row],[AMI]],"")</f>
        <v>973.19999999999993</v>
      </c>
      <c r="Q31" s="1157"/>
      <c r="R31" s="1060" cm="1">
        <f t="array" ref="R31">IF(Cdlac[[#This Row],[Quantity]]&gt;0,INDEX(HudFmrs,$P$18,Cdlac[[#This Row],[Bedrooms]]+1),"")</f>
        <v>3745</v>
      </c>
      <c r="S31" s="1060">
        <f>IF(Cdlac[[#This Row],[Quantity]]&gt;0,MAX(0,Cdlac[[#This Row],[Fair Market Rent]]-IF(AND($G$37,$G$38,$G$38&lt;&gt;"",NOT(Cdlac[[#This Row],[Federal]]),Cdlac[[#This Row],[Preservation Rent]]&lt;&gt;""),Cdlac[[#This Row],[Preservation Rent]],Cdlac[[#This Row],[Restricted Rent]])),"")</f>
        <v>2771.8</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f>IFERROR(MIN(4,MATCH(Application!B738,UnitSizes,0)-1),"")</f>
        <v>4</v>
      </c>
      <c r="M32" s="1060">
        <f>Application!G738</f>
        <v>4</v>
      </c>
      <c r="N32" s="1066">
        <f>Application!AC738</f>
        <v>0.5</v>
      </c>
      <c r="O32" s="1066">
        <f>IF(Cdlac[[#This Row],[Quantity]]&gt;0,IF(Cdlac[[#This Row],[Federal]],30%,IF(AND(OR(NOT($G$38),$G$38=""),$G$43),40%,Cdlac[[#This Row],[iAMI]])),"")</f>
        <v>0.5</v>
      </c>
      <c r="P32" s="1060" cm="1">
        <f t="array" ref="P32">IF(Cdlac[[#This Row],[Quantity]]&gt;0,INDEX(TcacRents,$P$18,Cdlac[[#This Row],[Bedrooms]]+1)*Cdlac[[#This Row],[AMI]],"")</f>
        <v>1622</v>
      </c>
      <c r="Q32" s="1157"/>
      <c r="R32" s="1060" cm="1">
        <f t="array" ref="R32">IF(Cdlac[[#This Row],[Quantity]]&gt;0,INDEX(HudFmrs,$P$18,Cdlac[[#This Row],[Bedrooms]]+1),"")</f>
        <v>3745</v>
      </c>
      <c r="S32" s="1060">
        <f>IF(Cdlac[[#This Row],[Quantity]]&gt;0,MAX(0,Cdlac[[#This Row],[Fair Market Rent]]-IF(AND($G$37,$G$38,$G$38&lt;&gt;"",NOT(Cdlac[[#This Row],[Federal]]),Cdlac[[#This Row],[Preservation Rent]]&lt;&gt;""),Cdlac[[#This Row],[Preservation Rent]],Cdlac[[#This Row],[Restricted Rent]])),"")</f>
        <v>2123</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15825000</v>
      </c>
      <c r="H33" s="1069"/>
      <c r="I33" s="1069"/>
      <c r="L33" s="1039">
        <f>IFERROR(MIN(4,MATCH(Application!B739,UnitSizes,0)-1),"")</f>
        <v>4</v>
      </c>
      <c r="M33" s="1060">
        <f>Application!G739</f>
        <v>14</v>
      </c>
      <c r="N33" s="1066">
        <f>Application!AC739</f>
        <v>0.6</v>
      </c>
      <c r="O33" s="1066">
        <f>IF(Cdlac[[#This Row],[Quantity]]&gt;0,IF(Cdlac[[#This Row],[Federal]],30%,IF(AND(OR(NOT($G$38),$G$38=""),$G$43),40%,Cdlac[[#This Row],[iAMI]])),"")</f>
        <v>0.6</v>
      </c>
      <c r="P33" s="1060" cm="1">
        <f t="array" ref="P33">IF(Cdlac[[#This Row],[Quantity]]&gt;0,INDEX(TcacRents,$P$18,Cdlac[[#This Row],[Bedrooms]]+1)*Cdlac[[#This Row],[AMI]],"")</f>
        <v>1946.3999999999999</v>
      </c>
      <c r="Q33" s="1157"/>
      <c r="R33" s="1060" cm="1">
        <f t="array" ref="R33">IF(Cdlac[[#This Row],[Quantity]]&gt;0,INDEX(HudFmrs,$P$18,Cdlac[[#This Row],[Bedrooms]]+1),"")</f>
        <v>3745</v>
      </c>
      <c r="S33" s="1060">
        <f>IF(Cdlac[[#This Row],[Quantity]]&gt;0,MAX(0,Cdlac[[#This Row],[Fair Market Rent]]-IF(AND($G$37,$G$38,$G$38&lt;&gt;"",NOT(Cdlac[[#This Row],[Federal]]),Cdlac[[#This Row],[Preservation Rent]]&lt;&gt;""),Cdlac[[#This Row],[Preservation Rent]],Cdlac[[#This Row],[Restricted Rent]])),"")</f>
        <v>1798.6000000000001</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4</v>
      </c>
      <c r="M34" s="1060">
        <f>Application!G740</f>
        <v>16</v>
      </c>
      <c r="N34" s="1066">
        <f>Application!AC740</f>
        <v>0.7</v>
      </c>
      <c r="O34" s="1066">
        <f>IF(Cdlac[[#This Row],[Quantity]]&gt;0,IF(Cdlac[[#This Row],[Federal]],30%,IF(AND(OR(NOT($G$38),$G$38=""),$G$43),40%,Cdlac[[#This Row],[iAMI]])),"")</f>
        <v>0.7</v>
      </c>
      <c r="P34" s="1060" cm="1">
        <f t="array" ref="P34">IF(Cdlac[[#This Row],[Quantity]]&gt;0,INDEX(TcacRents,$P$18,Cdlac[[#This Row],[Bedrooms]]+1)*Cdlac[[#This Row],[AMI]],"")</f>
        <v>2270.7999999999997</v>
      </c>
      <c r="Q34" s="1157"/>
      <c r="R34" s="1060" cm="1">
        <f t="array" ref="R34">IF(Cdlac[[#This Row],[Quantity]]&gt;0,INDEX(HudFmrs,$P$18,Cdlac[[#This Row],[Bedrooms]]+1),"")</f>
        <v>3745</v>
      </c>
      <c r="S34" s="1060">
        <f>IF(Cdlac[[#This Row],[Quantity]]&gt;0,MAX(0,Cdlac[[#This Row],[Fair Market Rent]]-IF(AND($G$37,$G$38,$G$38&lt;&gt;"",NOT(Cdlac[[#This Row],[Federal]]),Cdlac[[#This Row],[Preservation Rent]]&lt;&gt;""),Cdlac[[#This Row],[Preservation Rent]],Cdlac[[#This Row],[Restricted Rent]])),"")</f>
        <v>1474.2000000000003</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3" t="str">
        <f>IF(AND(G37,G38,G38&lt;&gt;""),"Enter the average rent charged for each unit type over the last three years, as documented with rent rolls or property audits, in cells Q20:Q44","")</f>
        <v/>
      </c>
      <c r="D39" s="2653"/>
      <c r="E39" s="2653"/>
      <c r="F39" s="2653"/>
      <c r="G39" s="2653"/>
      <c r="H39" s="265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3"/>
      <c r="D40" s="2653"/>
      <c r="E40" s="2653"/>
      <c r="F40" s="2653"/>
      <c r="G40" s="2653"/>
      <c r="H40" s="265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3"/>
      <c r="D41" s="2653"/>
      <c r="E41" s="2653"/>
      <c r="F41" s="2653"/>
      <c r="G41" s="2653"/>
      <c r="H41" s="265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0.57468354430379742</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273825.59999999998</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49288607.999999993</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24</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118</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24</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480000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118</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2570</v>
      </c>
      <c r="G67" s="1039" t="b">
        <f>Application!V227="Yes"</f>
        <v>0</v>
      </c>
    </row>
    <row r="68" spans="5:7" ht="15" customHeight="1">
      <c r="E68" s="1079" t="s">
        <v>2571</v>
      </c>
      <c r="G68" s="1202">
        <f>SUMIF(Application!AK726:AK760,"Homeless",Application!G726:G760)</f>
        <v>0</v>
      </c>
    </row>
    <row r="69" spans="5:7" ht="15" customHeight="1">
      <c r="E69" s="1079"/>
    </row>
    <row r="70" spans="5:7" ht="15" customHeight="1">
      <c r="E70" s="1079" t="s">
        <v>2572</v>
      </c>
      <c r="G70" s="1203"/>
    </row>
    <row r="71" spans="5:7" ht="15" customHeight="1">
      <c r="E71" s="1079" t="s">
        <v>2573</v>
      </c>
      <c r="G71" s="1203"/>
    </row>
    <row r="72" spans="5:7" ht="15" customHeight="1">
      <c r="E72" s="1079" t="s">
        <v>2574</v>
      </c>
      <c r="G72" s="1202">
        <f>IF(G71=0,0,(G70/G71)*100000)</f>
        <v>0</v>
      </c>
    </row>
    <row r="73" spans="5:7" ht="15" customHeight="1">
      <c r="E73" s="1079" t="s">
        <v>2575</v>
      </c>
      <c r="G73" s="1203"/>
    </row>
    <row r="74" spans="5:7" ht="15" customHeight="1">
      <c r="E74" s="1079" t="s">
        <v>2576</v>
      </c>
      <c r="G74" s="1203"/>
    </row>
    <row r="75" spans="5:7" ht="15" customHeight="1">
      <c r="E75" s="1079" t="s">
        <v>2577</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543</v>
      </c>
      <c r="L83" s="2674" t="s">
        <v>1940</v>
      </c>
      <c r="M83" s="2675"/>
      <c r="N83" s="1125">
        <v>30000</v>
      </c>
    </row>
    <row r="84" spans="2:14" ht="15" customHeight="1">
      <c r="C84" s="1072" t="s">
        <v>1952</v>
      </c>
      <c r="G84" s="1076" t="str">
        <f>IF(Application!D211="Large Family","Yes","No")</f>
        <v>Yes</v>
      </c>
      <c r="L84" s="2678" t="s">
        <v>1908</v>
      </c>
      <c r="M84" s="2679"/>
      <c r="N84" s="1126">
        <v>20000</v>
      </c>
    </row>
    <row r="85" spans="2:14" ht="15" customHeight="1" thickBot="1">
      <c r="C85" s="1072" t="s">
        <v>1938</v>
      </c>
      <c r="G85" s="1038"/>
      <c r="L85" s="2680" t="s">
        <v>1941</v>
      </c>
      <c r="M85" s="2681"/>
      <c r="N85" s="1127">
        <v>10000</v>
      </c>
    </row>
    <row r="86" spans="2:14" ht="15" customHeight="1" thickBot="1">
      <c r="C86" s="1072" t="s">
        <v>1939</v>
      </c>
      <c r="G86" s="1039" t="str">
        <f>Application!T193</f>
        <v>Highest Resource</v>
      </c>
    </row>
    <row r="87" spans="2:14" ht="15" customHeight="1">
      <c r="C87" s="2656" t="s">
        <v>2206</v>
      </c>
      <c r="D87" s="2656"/>
      <c r="E87" s="2656"/>
      <c r="F87" s="2656"/>
      <c r="G87" s="1038"/>
      <c r="L87" s="1121" t="str">
        <f>'Points System'!H651</f>
        <v>(i)</v>
      </c>
      <c r="M87" s="2676" t="s">
        <v>1395</v>
      </c>
      <c r="N87" s="2677"/>
    </row>
    <row r="88" spans="2:14" ht="15" customHeight="1">
      <c r="C88" s="2656"/>
      <c r="D88" s="2656"/>
      <c r="E88" s="2656"/>
      <c r="F88" s="2656"/>
      <c r="L88" s="1122" t="str">
        <f>'Points System'!H663</f>
        <v>N/A</v>
      </c>
      <c r="M88" s="2670" t="s">
        <v>1927</v>
      </c>
      <c r="N88" s="2671"/>
    </row>
    <row r="89" spans="2:14" ht="15" customHeight="1">
      <c r="C89" s="1072"/>
      <c r="L89" s="1122" t="str">
        <f>'Points System'!H698</f>
        <v>(ii)</v>
      </c>
      <c r="M89" s="2670" t="s">
        <v>1928</v>
      </c>
      <c r="N89" s="2671"/>
    </row>
    <row r="90" spans="2:14" ht="15" customHeight="1">
      <c r="E90" s="1079" t="s">
        <v>1970</v>
      </c>
      <c r="G90" s="1074" t="b">
        <f>OR(AND(COUNTIFS(G84:G85,"Yes")&gt;=1,G83="Yes"),G87="Yes")</f>
        <v>1</v>
      </c>
      <c r="L90" s="1122" t="str">
        <f>IF(OR('Points System'!H722="(ii)",'Points System'!H722="(i)"),"(i)","N/A")</f>
        <v>N/A</v>
      </c>
      <c r="M90" s="2670" t="s">
        <v>1929</v>
      </c>
      <c r="N90" s="2671"/>
    </row>
    <row r="91" spans="2:14" ht="15" customHeight="1">
      <c r="E91" s="1079"/>
      <c r="G91" s="1074"/>
      <c r="L91" s="1123" t="str">
        <f>'Points System'!H736</f>
        <v>N/A</v>
      </c>
      <c r="M91" s="2670" t="s">
        <v>1421</v>
      </c>
      <c r="N91" s="2671"/>
    </row>
    <row r="92" spans="2:14" ht="15" customHeight="1">
      <c r="E92" s="1079" t="s">
        <v>1915</v>
      </c>
      <c r="G92" s="1073">
        <f>IFERROR(IF($G$87="Yes",30000,INDEX(N83:N85,MATCH(LEFT(G86,17),L83:L85,0))),0)</f>
        <v>30000</v>
      </c>
      <c r="L92" s="1122" t="str">
        <f>'Points System'!H748</f>
        <v>N/A</v>
      </c>
      <c r="M92" s="2670" t="s">
        <v>1930</v>
      </c>
      <c r="N92" s="2671"/>
    </row>
    <row r="93" spans="2:14" ht="15" customHeight="1">
      <c r="E93" s="1079" t="str">
        <f>E110</f>
        <v>Bedroom-Adjusted Low-Income Units</v>
      </c>
      <c r="F93" s="1107" t="s">
        <v>1963</v>
      </c>
      <c r="G93" s="1108">
        <f>G29</f>
        <v>316.5</v>
      </c>
      <c r="L93" s="1122" t="str">
        <f>'Points System'!H764</f>
        <v>N/A</v>
      </c>
      <c r="M93" s="2670" t="s">
        <v>1931</v>
      </c>
      <c r="N93" s="2671"/>
    </row>
    <row r="94" spans="2:14" ht="15" customHeight="1" thickBot="1">
      <c r="D94" s="1041"/>
      <c r="E94" s="1112" t="s">
        <v>2209</v>
      </c>
      <c r="F94" s="1041"/>
      <c r="G94" s="1117">
        <f>G93*G92*G90</f>
        <v>9495000</v>
      </c>
      <c r="L94" s="1124" t="str">
        <f>'Points System'!H776</f>
        <v>(ii)</v>
      </c>
      <c r="M94" s="2672" t="s">
        <v>1424</v>
      </c>
      <c r="N94" s="267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t="s">
        <v>667</v>
      </c>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316.5</v>
      </c>
    </row>
    <row r="103" spans="2:9" ht="15" customHeight="1">
      <c r="E103" s="1079" t="s">
        <v>1915</v>
      </c>
      <c r="F103" s="1107" t="s">
        <v>1963</v>
      </c>
      <c r="G103" s="1045">
        <v>20000</v>
      </c>
    </row>
    <row r="104" spans="2:9" ht="15" customHeight="1">
      <c r="E104" s="1112" t="s">
        <v>2210</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0</v>
      </c>
    </row>
    <row r="109" spans="2:9" ht="15" customHeight="1">
      <c r="E109" s="1079" t="s">
        <v>1915</v>
      </c>
      <c r="F109" s="1107" t="s">
        <v>1963</v>
      </c>
      <c r="G109" s="1071">
        <v>4000</v>
      </c>
    </row>
    <row r="110" spans="2:9" ht="15" customHeight="1">
      <c r="E110" s="1079" t="s">
        <v>1967</v>
      </c>
      <c r="F110" s="1107" t="s">
        <v>1963</v>
      </c>
      <c r="G110" s="1120">
        <f>G29</f>
        <v>316.5</v>
      </c>
    </row>
    <row r="111" spans="2:9" ht="15" customHeight="1">
      <c r="E111" s="1112" t="s">
        <v>1932</v>
      </c>
      <c r="F111" s="1041"/>
      <c r="G111" s="1117">
        <f>G108*G109*G110</f>
        <v>0</v>
      </c>
    </row>
    <row r="112" spans="2:9" ht="15" customHeight="1">
      <c r="C112" s="1072"/>
      <c r="G112" s="1108"/>
    </row>
    <row r="113" spans="2:7" ht="15" customHeight="1">
      <c r="E113" s="1079" t="s">
        <v>1968</v>
      </c>
      <c r="G113" s="1108">
        <f>COUNTIFS(L87:L94,"(i)")</f>
        <v>1</v>
      </c>
    </row>
    <row r="114" spans="2:7" ht="15" customHeight="1">
      <c r="E114" s="1079" t="s">
        <v>1915</v>
      </c>
      <c r="F114" s="1107" t="s">
        <v>1963</v>
      </c>
      <c r="G114" s="1118">
        <v>4000</v>
      </c>
    </row>
    <row r="115" spans="2:7" ht="15" customHeight="1">
      <c r="E115" s="1112" t="s">
        <v>1933</v>
      </c>
      <c r="F115" s="1041"/>
      <c r="G115" s="1117">
        <f>G110*G113*G114</f>
        <v>1266000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row>
    <row r="121" spans="2:7">
      <c r="C121" s="1072" t="s">
        <v>2093</v>
      </c>
      <c r="G121" s="1038"/>
    </row>
    <row r="123" spans="2:7">
      <c r="B123" s="1073"/>
      <c r="C123" s="1072"/>
      <c r="E123" s="1079" t="s">
        <v>1970</v>
      </c>
      <c r="G123" s="1074" t="b">
        <f>COUNTIFS(G118:G121,"Yes")&gt;=1</f>
        <v>0</v>
      </c>
    </row>
    <row r="124" spans="2:7">
      <c r="E124" s="1072"/>
    </row>
    <row r="125" spans="2:7" ht="15">
      <c r="E125" s="1079" t="s">
        <v>1967</v>
      </c>
      <c r="F125" s="1107" t="s">
        <v>1963</v>
      </c>
      <c r="G125" s="1108">
        <f>G29</f>
        <v>316.5</v>
      </c>
    </row>
    <row r="126" spans="2:7" ht="15">
      <c r="E126" s="1079" t="s">
        <v>1915</v>
      </c>
      <c r="F126" s="1107" t="s">
        <v>1963</v>
      </c>
      <c r="G126" s="1118">
        <v>25000</v>
      </c>
    </row>
    <row r="127" spans="2:7" ht="15">
      <c r="E127" s="1112" t="s">
        <v>1934</v>
      </c>
      <c r="F127" s="1041"/>
      <c r="G127" s="1117">
        <f>G123*G126*G110</f>
        <v>0</v>
      </c>
    </row>
    <row r="128" spans="2:7">
      <c r="C128" s="1072"/>
      <c r="E128" s="1072"/>
    </row>
    <row r="129" spans="2:9" ht="15">
      <c r="E129" s="1112" t="s">
        <v>2211</v>
      </c>
      <c r="G129" s="1117">
        <f>G127+G115+G111</f>
        <v>1266000</v>
      </c>
    </row>
    <row r="131" spans="2:9" ht="15">
      <c r="B131" s="1061" t="s">
        <v>139</v>
      </c>
      <c r="C131" s="1062"/>
      <c r="D131" s="1062"/>
      <c r="E131" s="1062"/>
      <c r="F131" s="1062"/>
      <c r="G131" s="1062"/>
      <c r="H131" s="1062"/>
      <c r="I131" s="1063"/>
    </row>
    <row r="133" spans="2:9">
      <c r="C133" s="2652" t="s">
        <v>2178</v>
      </c>
      <c r="D133" s="2652"/>
      <c r="E133" s="2652"/>
      <c r="F133" s="2652"/>
    </row>
    <row r="134" spans="2:9">
      <c r="C134" s="2652"/>
      <c r="D134" s="2652"/>
      <c r="E134" s="2652"/>
      <c r="F134" s="2652"/>
      <c r="G134" s="1038"/>
    </row>
    <row r="135" spans="2:9" ht="14.25" customHeight="1"/>
    <row r="136" spans="2:9">
      <c r="C136" s="1039" t="s">
        <v>2180</v>
      </c>
      <c r="G136" s="2654"/>
      <c r="H136" s="2654"/>
    </row>
    <row r="137" spans="2:9">
      <c r="G137" s="2654"/>
      <c r="H137" s="2654"/>
    </row>
    <row r="138" spans="2:9">
      <c r="G138" s="2655"/>
      <c r="H138" s="2655"/>
    </row>
    <row r="140" spans="2:9">
      <c r="C140" s="2652" t="s">
        <v>2585</v>
      </c>
      <c r="D140" s="2652"/>
      <c r="E140" s="2652"/>
      <c r="F140" s="2652"/>
    </row>
    <row r="141" spans="2:9">
      <c r="C141" s="2652"/>
      <c r="D141" s="2652"/>
      <c r="E141" s="2652"/>
      <c r="F141" s="2652"/>
      <c r="G141" s="1038"/>
    </row>
    <row r="142" spans="2:9">
      <c r="C142" s="2652"/>
      <c r="D142" s="2652"/>
      <c r="E142" s="2652"/>
      <c r="F142" s="2652"/>
    </row>
    <row r="144" spans="2:9">
      <c r="C144" s="2652" t="s">
        <v>2584</v>
      </c>
      <c r="D144" s="2652"/>
      <c r="E144" s="2652"/>
      <c r="F144" s="2652"/>
    </row>
    <row r="145" spans="2:9">
      <c r="C145" s="2652"/>
      <c r="D145" s="2652"/>
      <c r="E145" s="2652"/>
      <c r="F145" s="2652"/>
      <c r="G145" s="1038"/>
    </row>
    <row r="146" spans="2:9">
      <c r="C146" s="2652"/>
      <c r="D146" s="2652"/>
      <c r="E146" s="2652"/>
      <c r="F146" s="2652"/>
    </row>
    <row r="147" spans="2:9">
      <c r="C147" s="2652"/>
      <c r="D147" s="2652"/>
      <c r="E147" s="2652"/>
      <c r="F147" s="2652"/>
    </row>
    <row r="149" spans="2:9" ht="15">
      <c r="B149" s="1061" t="s">
        <v>1972</v>
      </c>
      <c r="C149" s="1062"/>
      <c r="D149" s="1062"/>
      <c r="E149" s="1062"/>
      <c r="F149" s="1062"/>
      <c r="G149" s="1062"/>
      <c r="H149" s="1062"/>
      <c r="I149" s="1063"/>
    </row>
    <row r="151" spans="2:9">
      <c r="E151" s="1079" t="s">
        <v>580</v>
      </c>
      <c r="G151" s="1039" t="str">
        <f>IF(Application!T189="","",Application!T189)</f>
        <v>Riverside</v>
      </c>
    </row>
    <row r="152" spans="2:9">
      <c r="E152" s="1079"/>
      <c r="G152" s="1073"/>
    </row>
    <row r="153" spans="2:9">
      <c r="E153" s="1079" t="str">
        <f>"2-Bedroom "&amp;G151&amp;" County Basis Limit"</f>
        <v>2-Bedroom Riverside County Basis Limit</v>
      </c>
      <c r="G153" s="1073">
        <f>Application!R997</f>
        <v>531200</v>
      </c>
    </row>
    <row r="154" spans="2:9">
      <c r="E154" s="1079" t="s">
        <v>1971</v>
      </c>
      <c r="G154" s="1073">
        <f>MEDIAN((Application!CU160:CU217))</f>
        <v>560000</v>
      </c>
    </row>
    <row r="155" spans="2:9" ht="15">
      <c r="D155" s="1041"/>
      <c r="E155" s="1112" t="s">
        <v>1973</v>
      </c>
      <c r="F155" s="1128"/>
      <c r="G155" s="1129">
        <f>((G153-G154)/G154)*0.25</f>
        <v>-1.2857142857142857E-2</v>
      </c>
      <c r="H155" s="1037"/>
      <c r="I155" s="1037"/>
    </row>
    <row r="156" spans="2:9">
      <c r="D156" s="1040"/>
      <c r="E156" s="1040"/>
    </row>
    <row r="157" spans="2:9" ht="15">
      <c r="B157" s="1061" t="s">
        <v>2212</v>
      </c>
      <c r="C157" s="1062"/>
      <c r="D157" s="1062"/>
      <c r="E157" s="1062"/>
      <c r="F157" s="1062"/>
      <c r="G157" s="1062"/>
      <c r="H157" s="1062"/>
      <c r="I157" s="1063"/>
    </row>
    <row r="159" spans="2:9">
      <c r="E159" s="1079" t="s">
        <v>2565</v>
      </c>
      <c r="G159" s="1039" t="b">
        <f>G37</f>
        <v>0</v>
      </c>
    </row>
    <row r="160" spans="2:9">
      <c r="C160" s="2647" t="s">
        <v>2213</v>
      </c>
      <c r="D160" s="2647"/>
      <c r="E160" s="2647"/>
      <c r="F160" s="2647"/>
    </row>
    <row r="161" spans="2:7">
      <c r="B161" s="1040"/>
      <c r="C161" s="2647"/>
      <c r="D161" s="2647"/>
      <c r="E161" s="2647"/>
      <c r="F161" s="2647"/>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4620000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2" t="s">
        <v>907</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100.5">
      <c r="A3" s="426" t="s">
        <v>908</v>
      </c>
      <c r="B3" s="426" t="s">
        <v>2199</v>
      </c>
      <c r="C3" s="426" t="s">
        <v>2200</v>
      </c>
      <c r="D3" s="1140" t="s">
        <v>2201</v>
      </c>
      <c r="E3" s="204"/>
      <c r="F3" s="1140" t="s">
        <v>909</v>
      </c>
      <c r="G3" s="426" t="s">
        <v>910</v>
      </c>
      <c r="H3" s="427"/>
      <c r="I3" s="426" t="s">
        <v>911</v>
      </c>
      <c r="J3" s="426" t="s">
        <v>912</v>
      </c>
      <c r="K3" s="204"/>
      <c r="L3" s="305"/>
    </row>
    <row r="4" spans="1:12">
      <c r="A4" s="428" t="str">
        <f>Application!B726</f>
        <v>1 Bedroom</v>
      </c>
      <c r="B4" s="1077">
        <f>Application!G726</f>
        <v>18</v>
      </c>
      <c r="C4" s="1155"/>
      <c r="D4" s="428">
        <f>Application!O726</f>
        <v>602</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4</v>
      </c>
      <c r="C5" s="1155"/>
      <c r="D5" s="428">
        <f>Application!O727</f>
        <v>1022</v>
      </c>
      <c r="E5" s="429"/>
      <c r="F5" s="1078"/>
      <c r="G5" s="428">
        <f t="shared" ref="G5:G38" si="2">F5*B5</f>
        <v>0</v>
      </c>
      <c r="H5" s="429"/>
      <c r="I5" s="428" t="str">
        <f t="shared" si="0"/>
        <v/>
      </c>
      <c r="J5" s="428" t="str">
        <f t="shared" si="1"/>
        <v/>
      </c>
      <c r="K5" s="204"/>
      <c r="L5" s="305"/>
    </row>
    <row r="6" spans="1:12">
      <c r="A6" s="428" t="str">
        <f>Application!B728</f>
        <v>1 Bedroom</v>
      </c>
      <c r="B6" s="1077">
        <f>Application!G728</f>
        <v>14</v>
      </c>
      <c r="C6" s="1155"/>
      <c r="D6" s="428">
        <f>Application!O728</f>
        <v>1232</v>
      </c>
      <c r="E6" s="429"/>
      <c r="F6" s="1078"/>
      <c r="G6" s="428">
        <f t="shared" si="2"/>
        <v>0</v>
      </c>
      <c r="H6" s="429"/>
      <c r="I6" s="428" t="str">
        <f t="shared" si="0"/>
        <v/>
      </c>
      <c r="J6" s="428" t="str">
        <f t="shared" si="1"/>
        <v/>
      </c>
      <c r="K6" s="204"/>
      <c r="L6" s="305"/>
    </row>
    <row r="7" spans="1:12">
      <c r="A7" s="428" t="str">
        <f>Application!B729</f>
        <v>2 Bedrooms</v>
      </c>
      <c r="B7" s="1077">
        <f>Application!G729</f>
        <v>2</v>
      </c>
      <c r="C7" s="1155"/>
      <c r="D7" s="428">
        <f>Application!O729</f>
        <v>720</v>
      </c>
      <c r="E7" s="429"/>
      <c r="F7" s="1078"/>
      <c r="G7" s="428">
        <f t="shared" si="2"/>
        <v>0</v>
      </c>
      <c r="H7" s="429"/>
      <c r="I7" s="428" t="str">
        <f t="shared" si="0"/>
        <v/>
      </c>
      <c r="J7" s="428" t="str">
        <f t="shared" si="1"/>
        <v/>
      </c>
      <c r="K7" s="204"/>
      <c r="L7" s="305"/>
    </row>
    <row r="8" spans="1:12">
      <c r="A8" s="428" t="str">
        <f>Application!B730</f>
        <v>2 Bedrooms</v>
      </c>
      <c r="B8" s="1077">
        <f>Application!G730</f>
        <v>8</v>
      </c>
      <c r="C8" s="1155"/>
      <c r="D8" s="428">
        <f>Application!O730</f>
        <v>1223</v>
      </c>
      <c r="E8" s="429"/>
      <c r="F8" s="1078"/>
      <c r="G8" s="428">
        <f t="shared" si="2"/>
        <v>0</v>
      </c>
      <c r="H8" s="429"/>
      <c r="I8" s="428" t="str">
        <f t="shared" si="0"/>
        <v/>
      </c>
      <c r="J8" s="428" t="str">
        <f t="shared" si="1"/>
        <v/>
      </c>
      <c r="K8" s="204"/>
      <c r="L8" s="305"/>
    </row>
    <row r="9" spans="1:12">
      <c r="A9" s="428" t="str">
        <f>Application!B731</f>
        <v>2 Bedrooms</v>
      </c>
      <c r="B9" s="1077">
        <f>Application!G731</f>
        <v>65</v>
      </c>
      <c r="C9" s="1155"/>
      <c r="D9" s="428">
        <f>Application!O731</f>
        <v>1475</v>
      </c>
      <c r="E9" s="429"/>
      <c r="F9" s="1078"/>
      <c r="G9" s="428">
        <f t="shared" si="2"/>
        <v>0</v>
      </c>
      <c r="H9" s="429"/>
      <c r="I9" s="428" t="str">
        <f t="shared" si="0"/>
        <v/>
      </c>
      <c r="J9" s="428" t="str">
        <f t="shared" si="1"/>
        <v/>
      </c>
      <c r="K9" s="204"/>
      <c r="L9" s="305"/>
    </row>
    <row r="10" spans="1:12">
      <c r="A10" s="428" t="str">
        <f>Application!B732</f>
        <v>2 Bedrooms</v>
      </c>
      <c r="B10" s="1077">
        <f>Application!G732</f>
        <v>8</v>
      </c>
      <c r="C10" s="1155"/>
      <c r="D10" s="428">
        <f>Application!O732</f>
        <v>1727</v>
      </c>
      <c r="E10" s="429"/>
      <c r="F10" s="1078"/>
      <c r="G10" s="428">
        <f t="shared" si="2"/>
        <v>0</v>
      </c>
      <c r="H10" s="429"/>
      <c r="I10" s="428" t="str">
        <f t="shared" si="0"/>
        <v/>
      </c>
      <c r="J10" s="428" t="str">
        <f t="shared" si="1"/>
        <v/>
      </c>
      <c r="K10" s="204"/>
      <c r="L10" s="305"/>
    </row>
    <row r="11" spans="1:12">
      <c r="A11" s="428" t="str">
        <f>Application!B733</f>
        <v>3 Bedrooms</v>
      </c>
      <c r="B11" s="1077">
        <f>Application!G733</f>
        <v>2</v>
      </c>
      <c r="C11" s="1155"/>
      <c r="D11" s="428">
        <f>Application!O733</f>
        <v>841</v>
      </c>
      <c r="E11" s="429"/>
      <c r="F11" s="1078"/>
      <c r="G11" s="428">
        <f t="shared" si="2"/>
        <v>0</v>
      </c>
      <c r="H11" s="429"/>
      <c r="I11" s="428" t="str">
        <f t="shared" si="0"/>
        <v/>
      </c>
      <c r="J11" s="428" t="str">
        <f t="shared" si="1"/>
        <v/>
      </c>
      <c r="K11" s="204"/>
      <c r="L11" s="305"/>
    </row>
    <row r="12" spans="1:12">
      <c r="A12" s="428" t="str">
        <f>Application!B734</f>
        <v>3 Bedrooms</v>
      </c>
      <c r="B12" s="1077">
        <f>Application!G734</f>
        <v>8</v>
      </c>
      <c r="C12" s="1155"/>
      <c r="D12" s="428">
        <f>Application!O734</f>
        <v>1423</v>
      </c>
      <c r="E12" s="429"/>
      <c r="F12" s="1078"/>
      <c r="G12" s="428">
        <f t="shared" si="2"/>
        <v>0</v>
      </c>
      <c r="H12" s="429"/>
      <c r="I12" s="428" t="str">
        <f t="shared" si="0"/>
        <v/>
      </c>
      <c r="J12" s="428" t="str">
        <f t="shared" si="1"/>
        <v/>
      </c>
      <c r="K12" s="204"/>
      <c r="L12" s="305"/>
    </row>
    <row r="13" spans="1:12">
      <c r="A13" s="428" t="str">
        <f>Application!B735</f>
        <v>3 Bedrooms</v>
      </c>
      <c r="B13" s="1077">
        <f>Application!G735</f>
        <v>60</v>
      </c>
      <c r="C13" s="1155"/>
      <c r="D13" s="428">
        <f>Application!O735</f>
        <v>1714</v>
      </c>
      <c r="E13" s="429"/>
      <c r="F13" s="1078"/>
      <c r="G13" s="428">
        <f t="shared" si="2"/>
        <v>0</v>
      </c>
      <c r="H13" s="429"/>
      <c r="I13" s="428" t="str">
        <f t="shared" si="0"/>
        <v/>
      </c>
      <c r="J13" s="428" t="str">
        <f t="shared" si="1"/>
        <v/>
      </c>
      <c r="K13" s="204"/>
      <c r="L13" s="305"/>
    </row>
    <row r="14" spans="1:12">
      <c r="A14" s="428" t="str">
        <f>Application!B736</f>
        <v>3 Bedrooms</v>
      </c>
      <c r="B14" s="1077">
        <f>Application!G736</f>
        <v>12</v>
      </c>
      <c r="C14" s="1155"/>
      <c r="D14" s="428">
        <f>Application!O736</f>
        <v>2005</v>
      </c>
      <c r="E14" s="429"/>
      <c r="F14" s="1078"/>
      <c r="G14" s="428">
        <f t="shared" si="2"/>
        <v>0</v>
      </c>
      <c r="H14" s="429"/>
      <c r="I14" s="428" t="str">
        <f t="shared" si="0"/>
        <v/>
      </c>
      <c r="J14" s="428" t="str">
        <f t="shared" si="1"/>
        <v/>
      </c>
      <c r="K14" s="204"/>
      <c r="L14" s="305"/>
    </row>
    <row r="15" spans="1:12">
      <c r="A15" s="428" t="str">
        <f>Application!B737</f>
        <v>4 Bedrooms</v>
      </c>
      <c r="B15" s="1077">
        <f>Application!G737</f>
        <v>2</v>
      </c>
      <c r="C15" s="1155"/>
      <c r="D15" s="428">
        <f>Application!O737</f>
        <v>936</v>
      </c>
      <c r="E15" s="429"/>
      <c r="F15" s="1078"/>
      <c r="G15" s="428">
        <f t="shared" si="2"/>
        <v>0</v>
      </c>
      <c r="H15" s="429"/>
      <c r="I15" s="428" t="str">
        <f t="shared" si="0"/>
        <v/>
      </c>
      <c r="J15" s="428" t="str">
        <f t="shared" si="1"/>
        <v/>
      </c>
      <c r="K15" s="204"/>
      <c r="L15" s="305"/>
    </row>
    <row r="16" spans="1:12">
      <c r="A16" s="428" t="str">
        <f>Application!B738</f>
        <v>4 Bedrooms</v>
      </c>
      <c r="B16" s="1077">
        <f>Application!G738</f>
        <v>4</v>
      </c>
      <c r="C16" s="1155"/>
      <c r="D16" s="428">
        <f>Application!O738</f>
        <v>1585</v>
      </c>
      <c r="E16" s="429"/>
      <c r="F16" s="1078"/>
      <c r="G16" s="428">
        <f t="shared" si="2"/>
        <v>0</v>
      </c>
      <c r="H16" s="429"/>
      <c r="I16" s="428" t="str">
        <f t="shared" si="0"/>
        <v/>
      </c>
      <c r="J16" s="428" t="str">
        <f t="shared" si="1"/>
        <v/>
      </c>
      <c r="K16" s="204"/>
      <c r="L16" s="305"/>
    </row>
    <row r="17" spans="1:12">
      <c r="A17" s="428" t="str">
        <f>Application!B739</f>
        <v>4 Bedrooms</v>
      </c>
      <c r="B17" s="1077">
        <f>Application!G739</f>
        <v>14</v>
      </c>
      <c r="C17" s="1155"/>
      <c r="D17" s="428">
        <f>Application!O739</f>
        <v>1910</v>
      </c>
      <c r="E17" s="429"/>
      <c r="F17" s="1078"/>
      <c r="G17" s="428">
        <f t="shared" si="2"/>
        <v>0</v>
      </c>
      <c r="H17" s="429"/>
      <c r="I17" s="428" t="str">
        <f t="shared" si="0"/>
        <v/>
      </c>
      <c r="J17" s="428" t="str">
        <f t="shared" si="1"/>
        <v/>
      </c>
      <c r="K17" s="204"/>
      <c r="L17" s="305"/>
    </row>
    <row r="18" spans="1:12">
      <c r="A18" s="428" t="str">
        <f>Application!B740</f>
        <v>4 Bedrooms</v>
      </c>
      <c r="B18" s="1077">
        <f>Application!G740</f>
        <v>16</v>
      </c>
      <c r="C18" s="1155"/>
      <c r="D18" s="428">
        <f>Application!O740</f>
        <v>2234</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913</v>
      </c>
      <c r="B40" s="431"/>
      <c r="C40" s="431"/>
      <c r="D40" s="432">
        <f>Application!O761</f>
        <v>363749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2202</v>
      </c>
    </row>
    <row r="43" spans="1:12">
      <c r="A43" s="2683" t="s">
        <v>2423</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2203</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2046</v>
      </c>
      <c r="B1" s="211"/>
    </row>
    <row r="2" spans="1:34"/>
    <row r="3" spans="1:34" ht="15.7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Application!Y809</f>
        <v>4364988</v>
      </c>
      <c r="G4" s="219">
        <f>E4*$C$4</f>
        <v>4474112.6999999993</v>
      </c>
      <c r="I4" s="219">
        <f>G4*$C$4</f>
        <v>4585965.5174999991</v>
      </c>
      <c r="K4" s="219">
        <f>I4*$C$4</f>
        <v>4700614.6554374984</v>
      </c>
      <c r="M4" s="219">
        <f>K4*$C$4</f>
        <v>4818130.0218234351</v>
      </c>
      <c r="O4" s="219">
        <f>M4*$C$4</f>
        <v>4938583.2723690206</v>
      </c>
      <c r="Q4" s="219">
        <f>O4*$C$4</f>
        <v>5062047.8541782461</v>
      </c>
      <c r="S4" s="219">
        <f>Q4*$C$4</f>
        <v>5188599.0505327014</v>
      </c>
      <c r="U4" s="219">
        <f>S4*$C$4</f>
        <v>5318314.0267960187</v>
      </c>
      <c r="W4" s="219">
        <f>U4*$C$4</f>
        <v>5451271.8774659187</v>
      </c>
      <c r="Y4" s="219">
        <f>W4*$C$4</f>
        <v>5587553.6744025657</v>
      </c>
      <c r="AA4" s="219">
        <f>Y4*$C$4</f>
        <v>5727242.5162626291</v>
      </c>
      <c r="AC4" s="219">
        <f>AA4*$C$4</f>
        <v>5870423.5791691942</v>
      </c>
      <c r="AE4" s="219">
        <f>AC4*$C$4</f>
        <v>6017184.1686484236</v>
      </c>
      <c r="AG4" s="219">
        <f>AE4*$C$4</f>
        <v>6167613.7728646332</v>
      </c>
    </row>
    <row r="5" spans="1:34" s="210" customFormat="1" ht="14.25">
      <c r="B5" s="210" t="s">
        <v>836</v>
      </c>
      <c r="C5" s="238">
        <f>IF(Application!$D$211="Special Needs",(((0.1*Application!$T$212)+(0.05*(1-Application!$T$212)))),0.05)</f>
        <v>0.05</v>
      </c>
      <c r="E5" s="221">
        <f>-E4*$C$5</f>
        <v>-218249.40000000002</v>
      </c>
      <c r="F5" s="221"/>
      <c r="G5" s="221">
        <f>-G4*$C$5</f>
        <v>-223705.63499999998</v>
      </c>
      <c r="H5" s="221"/>
      <c r="I5" s="221">
        <f>-I4*$C$5</f>
        <v>-229298.27587499996</v>
      </c>
      <c r="J5" s="221"/>
      <c r="K5" s="221">
        <f>-K4*$C$5</f>
        <v>-235030.73277187493</v>
      </c>
      <c r="L5" s="221"/>
      <c r="M5" s="221">
        <f>-M4*$C$5</f>
        <v>-240906.50109117175</v>
      </c>
      <c r="N5" s="221"/>
      <c r="O5" s="221">
        <f>-O4*$C$5</f>
        <v>-246929.16361845104</v>
      </c>
      <c r="P5" s="221"/>
      <c r="Q5" s="221">
        <f>-Q4*$C$5</f>
        <v>-253102.39270891232</v>
      </c>
      <c r="R5" s="221"/>
      <c r="S5" s="221">
        <f>-S4*$C$5</f>
        <v>-259429.95252663508</v>
      </c>
      <c r="T5" s="221"/>
      <c r="U5" s="221">
        <f>-U4*$C$5</f>
        <v>-265915.70133980096</v>
      </c>
      <c r="V5" s="221"/>
      <c r="W5" s="221">
        <f>-W4*$C$5</f>
        <v>-272563.59387329593</v>
      </c>
      <c r="X5" s="221"/>
      <c r="Y5" s="221">
        <f>-Y4*$C$5</f>
        <v>-279377.68372012832</v>
      </c>
      <c r="Z5" s="221"/>
      <c r="AA5" s="221">
        <f>-AA4*$C$5</f>
        <v>-286362.12581313145</v>
      </c>
      <c r="AB5" s="221"/>
      <c r="AC5" s="221">
        <f>-AC4*$C$5</f>
        <v>-293521.1789584597</v>
      </c>
      <c r="AD5" s="221"/>
      <c r="AE5" s="221">
        <f>-AE4*$C$5</f>
        <v>-300859.2084324212</v>
      </c>
      <c r="AF5" s="221"/>
      <c r="AG5" s="221">
        <f>-AG4*$C$5</f>
        <v>-308380.6886432317</v>
      </c>
    </row>
    <row r="6" spans="1:34" s="210" customFormat="1" ht="14.25">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Application!Z825</f>
        <v>389146.34526315785</v>
      </c>
      <c r="F8" s="222"/>
      <c r="G8" s="222">
        <f>E8*$C$8</f>
        <v>398875.00389473676</v>
      </c>
      <c r="H8" s="222"/>
      <c r="I8" s="222">
        <f>G8*$C$8</f>
        <v>408846.87899210514</v>
      </c>
      <c r="J8" s="222"/>
      <c r="K8" s="222">
        <f>I8*$C$8</f>
        <v>419068.0509669077</v>
      </c>
      <c r="L8" s="222"/>
      <c r="M8" s="222">
        <f>K8*$C$8</f>
        <v>429544.75224108034</v>
      </c>
      <c r="N8" s="222"/>
      <c r="O8" s="222">
        <f>M8*$C$8</f>
        <v>440283.37104710733</v>
      </c>
      <c r="P8" s="222"/>
      <c r="Q8" s="222">
        <f>O8*$C$8</f>
        <v>451290.45532328496</v>
      </c>
      <c r="R8" s="222"/>
      <c r="S8" s="222">
        <f>Q8*$C$8</f>
        <v>462572.71670636703</v>
      </c>
      <c r="T8" s="222"/>
      <c r="U8" s="222">
        <f>S8*$C$8</f>
        <v>474137.03462402616</v>
      </c>
      <c r="V8" s="222"/>
      <c r="W8" s="222">
        <f>U8*$C$8</f>
        <v>485990.46048962674</v>
      </c>
      <c r="X8" s="222"/>
      <c r="Y8" s="222">
        <f>W8*$C$8</f>
        <v>498140.22200186737</v>
      </c>
      <c r="Z8" s="222"/>
      <c r="AA8" s="222">
        <f>Y8*$C$8</f>
        <v>510593.72755191399</v>
      </c>
      <c r="AB8" s="222"/>
      <c r="AC8" s="222">
        <f>AA8*$C$8</f>
        <v>523358.57074071182</v>
      </c>
      <c r="AD8" s="222"/>
      <c r="AE8" s="222">
        <f>AC8*$C$8</f>
        <v>536442.53500922956</v>
      </c>
      <c r="AF8" s="222"/>
      <c r="AG8" s="222">
        <f>AE8*$C$8</f>
        <v>549853.5983844602</v>
      </c>
    </row>
    <row r="9" spans="1:34" s="210" customFormat="1" ht="14.25">
      <c r="B9" s="210" t="s">
        <v>836</v>
      </c>
      <c r="C9" s="238">
        <f>IF(Application!$D$211="Special Needs",(((0.1*Application!$T$212)+(0.05*(1-Application!$T$212)))),0.05)</f>
        <v>0.05</v>
      </c>
      <c r="E9" s="221">
        <f>-E8*$C$9</f>
        <v>-19457.317263157893</v>
      </c>
      <c r="F9" s="221"/>
      <c r="G9" s="221">
        <f>-G8*$C$9</f>
        <v>-19943.75019473684</v>
      </c>
      <c r="H9" s="221"/>
      <c r="I9" s="221">
        <f>-I8*$C$9</f>
        <v>-20442.34394960526</v>
      </c>
      <c r="J9" s="221"/>
      <c r="K9" s="221">
        <f>-K8*$C$9</f>
        <v>-20953.402548345388</v>
      </c>
      <c r="L9" s="221"/>
      <c r="M9" s="221">
        <f>-M8*$C$9</f>
        <v>-21477.237612054018</v>
      </c>
      <c r="N9" s="221"/>
      <c r="O9" s="221">
        <f>-O8*$C$9</f>
        <v>-22014.168552355368</v>
      </c>
      <c r="P9" s="221"/>
      <c r="Q9" s="221">
        <f>-Q8*$C$9</f>
        <v>-22564.522766164249</v>
      </c>
      <c r="R9" s="221"/>
      <c r="S9" s="221">
        <f>-S8*$C$9</f>
        <v>-23128.635835318353</v>
      </c>
      <c r="T9" s="221"/>
      <c r="U9" s="221">
        <f>-U8*$C$9</f>
        <v>-23706.85173120131</v>
      </c>
      <c r="V9" s="221"/>
      <c r="W9" s="221">
        <f>-W8*$C$9</f>
        <v>-24299.523024481339</v>
      </c>
      <c r="X9" s="221"/>
      <c r="Y9" s="221">
        <f>-Y8*$C$9</f>
        <v>-24907.011100093368</v>
      </c>
      <c r="Z9" s="221"/>
      <c r="AA9" s="221">
        <f>-AA8*$C$9</f>
        <v>-25529.686377595703</v>
      </c>
      <c r="AB9" s="221"/>
      <c r="AC9" s="221">
        <f>-AC8*$C$9</f>
        <v>-26167.928537035594</v>
      </c>
      <c r="AD9" s="221"/>
      <c r="AE9" s="221">
        <f>-AE8*$C$9</f>
        <v>-26822.126750461481</v>
      </c>
      <c r="AF9" s="221"/>
      <c r="AG9" s="221">
        <f>-AG8*$C$9</f>
        <v>-27492.67991922301</v>
      </c>
    </row>
    <row r="10" spans="1:34" s="210" customFormat="1" ht="14.25">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857</v>
      </c>
      <c r="C11" s="216"/>
      <c r="E11" s="223">
        <f>SUM(E4:E10)</f>
        <v>4516427.6279999996</v>
      </c>
      <c r="G11" s="223">
        <f>SUM(G4:G10)</f>
        <v>4629338.3186999997</v>
      </c>
      <c r="I11" s="223">
        <f>SUM(I4:I10)</f>
        <v>4745071.7766674981</v>
      </c>
      <c r="K11" s="223">
        <f>SUM(K4:K10)</f>
        <v>4863698.5710841846</v>
      </c>
      <c r="M11" s="223">
        <f>SUM(M4:M10)</f>
        <v>4985291.03536129</v>
      </c>
      <c r="O11" s="223">
        <f>SUM(O4:O10)</f>
        <v>5109923.3112453222</v>
      </c>
      <c r="Q11" s="223">
        <f>SUM(Q4:Q10)</f>
        <v>5237671.3940264536</v>
      </c>
      <c r="S11" s="223">
        <f>SUM(S4:S10)</f>
        <v>5368613.1788771152</v>
      </c>
      <c r="U11" s="223">
        <f>SUM(U4:U10)</f>
        <v>5502828.5083490424</v>
      </c>
      <c r="W11" s="223">
        <f>SUM(W4:W10)</f>
        <v>5640399.221057768</v>
      </c>
      <c r="Y11" s="223">
        <f>SUM(Y4:Y10)</f>
        <v>5781409.2015842106</v>
      </c>
      <c r="AA11" s="223">
        <f>SUM(AA4:AA10)</f>
        <v>5925944.4316238156</v>
      </c>
      <c r="AC11" s="223">
        <f>SUM(AC4:AC10)</f>
        <v>6074093.042414411</v>
      </c>
      <c r="AE11" s="223">
        <f>SUM(AE4:AE10)</f>
        <v>6225945.3684747703</v>
      </c>
      <c r="AG11" s="223">
        <f>SUM(AG4:AG10)</f>
        <v>6381594.0026866384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Application!W855</f>
        <v>72000</v>
      </c>
      <c r="G15" s="219">
        <f>E15*$C$14</f>
        <v>74520</v>
      </c>
      <c r="I15" s="219">
        <f>G15*$C$14</f>
        <v>77128.2</v>
      </c>
      <c r="K15" s="219">
        <f>I15*$C$14</f>
        <v>79827.686999999991</v>
      </c>
      <c r="M15" s="219">
        <f>K15*$C$14</f>
        <v>82621.656044999982</v>
      </c>
      <c r="O15" s="219">
        <f>M15*$C$14</f>
        <v>85513.414006574967</v>
      </c>
      <c r="Q15" s="219">
        <f>O15*$C$14</f>
        <v>88506.38349680508</v>
      </c>
      <c r="S15" s="219">
        <f>Q15*$C$14</f>
        <v>91604.106919193247</v>
      </c>
      <c r="U15" s="219">
        <f>S15*$C$14</f>
        <v>94810.250661365004</v>
      </c>
      <c r="W15" s="219">
        <f>U15*$C$14</f>
        <v>98128.609434512779</v>
      </c>
      <c r="Y15" s="219">
        <f>W15*$C$14</f>
        <v>101563.11076472072</v>
      </c>
      <c r="AA15" s="219">
        <f>Y15*$C$14</f>
        <v>105117.81964148594</v>
      </c>
      <c r="AC15" s="219">
        <f>AA15*$C$14</f>
        <v>108796.94332893794</v>
      </c>
      <c r="AE15" s="219">
        <f>AC15*$C$14</f>
        <v>112604.83634545076</v>
      </c>
      <c r="AG15" s="219">
        <f>AE15*$C$14</f>
        <v>116546.00561754154</v>
      </c>
    </row>
    <row r="16" spans="1:34" s="210" customFormat="1" ht="14.25">
      <c r="A16" s="210" t="s">
        <v>342</v>
      </c>
      <c r="C16" s="233"/>
      <c r="E16" s="222">
        <f>Application!W857</f>
        <v>146783.89791000003</v>
      </c>
      <c r="F16" s="222"/>
      <c r="G16" s="222">
        <f t="shared" ref="G16:AG21" si="0">E16*$C$14</f>
        <v>151921.33433685001</v>
      </c>
      <c r="H16" s="222"/>
      <c r="I16" s="222">
        <f t="shared" si="0"/>
        <v>157238.58103863974</v>
      </c>
      <c r="J16" s="222"/>
      <c r="K16" s="222">
        <f t="shared" si="0"/>
        <v>162741.93137499213</v>
      </c>
      <c r="L16" s="222"/>
      <c r="M16" s="222">
        <f t="shared" si="0"/>
        <v>168437.89897311683</v>
      </c>
      <c r="N16" s="222"/>
      <c r="O16" s="222">
        <f t="shared" si="0"/>
        <v>174333.22543717589</v>
      </c>
      <c r="P16" s="222"/>
      <c r="Q16" s="222">
        <f t="shared" si="0"/>
        <v>180434.88832747703</v>
      </c>
      <c r="R16" s="222"/>
      <c r="S16" s="222">
        <f t="shared" si="0"/>
        <v>186750.10941893872</v>
      </c>
      <c r="T16" s="222"/>
      <c r="U16" s="222">
        <f t="shared" si="0"/>
        <v>193286.36324860156</v>
      </c>
      <c r="V16" s="222"/>
      <c r="W16" s="222">
        <f t="shared" si="0"/>
        <v>200051.38596230259</v>
      </c>
      <c r="X16" s="222"/>
      <c r="Y16" s="222">
        <f t="shared" si="0"/>
        <v>207053.18447098316</v>
      </c>
      <c r="Z16" s="222"/>
      <c r="AA16" s="222">
        <f t="shared" si="0"/>
        <v>214300.04592746755</v>
      </c>
      <c r="AB16" s="222"/>
      <c r="AC16" s="222">
        <f t="shared" si="0"/>
        <v>221800.54753492889</v>
      </c>
      <c r="AD16" s="222"/>
      <c r="AE16" s="222">
        <f t="shared" si="0"/>
        <v>229563.56669865138</v>
      </c>
      <c r="AF16" s="222"/>
      <c r="AG16" s="222">
        <f t="shared" si="0"/>
        <v>237598.29153310417</v>
      </c>
    </row>
    <row r="17" spans="1:33" s="210" customFormat="1" ht="14.25">
      <c r="A17" s="210" t="s">
        <v>559</v>
      </c>
      <c r="C17" s="233"/>
      <c r="E17" s="222">
        <f>Application!W863</f>
        <v>276000</v>
      </c>
      <c r="F17" s="222"/>
      <c r="G17" s="222">
        <f t="shared" si="0"/>
        <v>285660</v>
      </c>
      <c r="H17" s="222"/>
      <c r="I17" s="222">
        <f t="shared" si="0"/>
        <v>295658.09999999998</v>
      </c>
      <c r="J17" s="222"/>
      <c r="K17" s="222">
        <f t="shared" si="0"/>
        <v>306006.13349999994</v>
      </c>
      <c r="L17" s="222"/>
      <c r="M17" s="222">
        <f t="shared" si="0"/>
        <v>316716.34817249991</v>
      </c>
      <c r="N17" s="222"/>
      <c r="O17" s="222">
        <f t="shared" si="0"/>
        <v>327801.42035853741</v>
      </c>
      <c r="P17" s="222"/>
      <c r="Q17" s="222">
        <f t="shared" si="0"/>
        <v>339274.47007108619</v>
      </c>
      <c r="R17" s="222"/>
      <c r="S17" s="222">
        <f t="shared" si="0"/>
        <v>351149.07652357419</v>
      </c>
      <c r="T17" s="222"/>
      <c r="U17" s="222">
        <f t="shared" si="0"/>
        <v>363439.29420189926</v>
      </c>
      <c r="V17" s="222"/>
      <c r="W17" s="222">
        <f t="shared" si="0"/>
        <v>376159.66949896573</v>
      </c>
      <c r="X17" s="222"/>
      <c r="Y17" s="222">
        <f t="shared" si="0"/>
        <v>389325.25793142949</v>
      </c>
      <c r="Z17" s="222"/>
      <c r="AA17" s="222">
        <f t="shared" si="0"/>
        <v>402951.64195902948</v>
      </c>
      <c r="AB17" s="222"/>
      <c r="AC17" s="222">
        <f t="shared" si="0"/>
        <v>417054.94942759548</v>
      </c>
      <c r="AD17" s="222"/>
      <c r="AE17" s="222">
        <f t="shared" si="0"/>
        <v>431651.87265756127</v>
      </c>
      <c r="AF17" s="222"/>
      <c r="AG17" s="222">
        <f t="shared" si="0"/>
        <v>446759.68820057588</v>
      </c>
    </row>
    <row r="18" spans="1:33" s="210" customFormat="1" ht="14.25">
      <c r="A18" s="210" t="s">
        <v>840</v>
      </c>
      <c r="C18" s="233"/>
      <c r="E18" s="222">
        <f>Application!W870</f>
        <v>480000</v>
      </c>
      <c r="F18" s="222"/>
      <c r="G18" s="222">
        <f t="shared" si="0"/>
        <v>496799.99999999994</v>
      </c>
      <c r="H18" s="222"/>
      <c r="I18" s="222">
        <f t="shared" si="0"/>
        <v>514187.99999999988</v>
      </c>
      <c r="J18" s="222"/>
      <c r="K18" s="222">
        <f t="shared" si="0"/>
        <v>532184.57999999984</v>
      </c>
      <c r="L18" s="222"/>
      <c r="M18" s="222">
        <f t="shared" si="0"/>
        <v>550811.04029999976</v>
      </c>
      <c r="N18" s="222"/>
      <c r="O18" s="222">
        <f t="shared" si="0"/>
        <v>570089.42671049968</v>
      </c>
      <c r="P18" s="222"/>
      <c r="Q18" s="222">
        <f t="shared" si="0"/>
        <v>590042.55664536718</v>
      </c>
      <c r="R18" s="222"/>
      <c r="S18" s="222">
        <f t="shared" si="0"/>
        <v>610694.04612795496</v>
      </c>
      <c r="T18" s="222"/>
      <c r="U18" s="222">
        <f t="shared" si="0"/>
        <v>632068.3377424333</v>
      </c>
      <c r="V18" s="222"/>
      <c r="W18" s="222">
        <f t="shared" si="0"/>
        <v>654190.72956341843</v>
      </c>
      <c r="X18" s="222"/>
      <c r="Y18" s="222">
        <f t="shared" si="0"/>
        <v>677087.40509813803</v>
      </c>
      <c r="Z18" s="222"/>
      <c r="AA18" s="222">
        <f t="shared" si="0"/>
        <v>700785.46427657281</v>
      </c>
      <c r="AB18" s="222"/>
      <c r="AC18" s="222">
        <f t="shared" si="0"/>
        <v>725312.95552625274</v>
      </c>
      <c r="AD18" s="222"/>
      <c r="AE18" s="222">
        <f t="shared" si="0"/>
        <v>750698.90896967158</v>
      </c>
      <c r="AF18" s="222"/>
      <c r="AG18" s="222">
        <f t="shared" si="0"/>
        <v>776973.37078361004</v>
      </c>
    </row>
    <row r="19" spans="1:33" s="210" customFormat="1" ht="14.25">
      <c r="A19" s="210" t="s">
        <v>155</v>
      </c>
      <c r="C19" s="233"/>
      <c r="E19" s="222">
        <f>Application!W872</f>
        <v>116880</v>
      </c>
      <c r="F19" s="222"/>
      <c r="G19" s="222">
        <f t="shared" si="0"/>
        <v>120970.79999999999</v>
      </c>
      <c r="H19" s="222"/>
      <c r="I19" s="222">
        <f t="shared" si="0"/>
        <v>125204.77799999998</v>
      </c>
      <c r="J19" s="222"/>
      <c r="K19" s="222">
        <f t="shared" si="0"/>
        <v>129586.94522999997</v>
      </c>
      <c r="L19" s="222"/>
      <c r="M19" s="222">
        <f t="shared" si="0"/>
        <v>134122.48831304995</v>
      </c>
      <c r="N19" s="222"/>
      <c r="O19" s="222">
        <f t="shared" si="0"/>
        <v>138816.77540400668</v>
      </c>
      <c r="P19" s="222"/>
      <c r="Q19" s="222">
        <f t="shared" si="0"/>
        <v>143675.36254314691</v>
      </c>
      <c r="R19" s="222"/>
      <c r="S19" s="222">
        <f t="shared" si="0"/>
        <v>148704.00023215704</v>
      </c>
      <c r="T19" s="222"/>
      <c r="U19" s="222">
        <f t="shared" si="0"/>
        <v>153908.64024028252</v>
      </c>
      <c r="V19" s="222"/>
      <c r="W19" s="222">
        <f t="shared" si="0"/>
        <v>159295.44264869241</v>
      </c>
      <c r="X19" s="222"/>
      <c r="Y19" s="222">
        <f t="shared" si="0"/>
        <v>164870.78314139662</v>
      </c>
      <c r="Z19" s="222"/>
      <c r="AA19" s="222">
        <f t="shared" si="0"/>
        <v>170641.26055134548</v>
      </c>
      <c r="AB19" s="222"/>
      <c r="AC19" s="222">
        <f t="shared" si="0"/>
        <v>176613.70467064256</v>
      </c>
      <c r="AD19" s="222"/>
      <c r="AE19" s="222">
        <f t="shared" si="0"/>
        <v>182795.18433411504</v>
      </c>
      <c r="AF19" s="222"/>
      <c r="AG19" s="222">
        <f t="shared" si="0"/>
        <v>189193.01578580905</v>
      </c>
    </row>
    <row r="20" spans="1:33" s="210" customFormat="1" ht="14.25">
      <c r="A20" s="210" t="s">
        <v>388</v>
      </c>
      <c r="C20" s="233"/>
      <c r="E20" s="222">
        <f>Application!W881</f>
        <v>186000</v>
      </c>
      <c r="F20" s="222"/>
      <c r="G20" s="222">
        <f t="shared" si="0"/>
        <v>192509.99999999997</v>
      </c>
      <c r="H20" s="222"/>
      <c r="I20" s="222">
        <f t="shared" si="0"/>
        <v>199247.84999999995</v>
      </c>
      <c r="J20" s="222"/>
      <c r="K20" s="222">
        <f t="shared" si="0"/>
        <v>206221.52474999992</v>
      </c>
      <c r="L20" s="222"/>
      <c r="M20" s="222">
        <f t="shared" si="0"/>
        <v>213439.27811624992</v>
      </c>
      <c r="N20" s="222"/>
      <c r="O20" s="222">
        <f t="shared" si="0"/>
        <v>220909.65285031864</v>
      </c>
      <c r="P20" s="222"/>
      <c r="Q20" s="222">
        <f t="shared" si="0"/>
        <v>228641.49070007977</v>
      </c>
      <c r="R20" s="222"/>
      <c r="S20" s="222">
        <f t="shared" si="0"/>
        <v>236643.94287458254</v>
      </c>
      <c r="T20" s="222"/>
      <c r="U20" s="222">
        <f t="shared" si="0"/>
        <v>244926.48087519291</v>
      </c>
      <c r="V20" s="222"/>
      <c r="W20" s="222">
        <f t="shared" si="0"/>
        <v>253498.90770582465</v>
      </c>
      <c r="X20" s="222"/>
      <c r="Y20" s="222">
        <f t="shared" si="0"/>
        <v>262371.36947552848</v>
      </c>
      <c r="Z20" s="222"/>
      <c r="AA20" s="222">
        <f t="shared" si="0"/>
        <v>271554.36740717193</v>
      </c>
      <c r="AB20" s="222"/>
      <c r="AC20" s="222">
        <f t="shared" si="0"/>
        <v>281058.77026642294</v>
      </c>
      <c r="AD20" s="222"/>
      <c r="AE20" s="222">
        <f t="shared" si="0"/>
        <v>290895.82722574775</v>
      </c>
      <c r="AF20" s="222"/>
      <c r="AG20" s="222">
        <f t="shared" si="0"/>
        <v>301077.1811786489</v>
      </c>
    </row>
    <row r="21" spans="1:33" s="210" customFormat="1" ht="14.25">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841</v>
      </c>
      <c r="C22" s="1266"/>
      <c r="E22" s="223">
        <f>SUM(E15:E21)</f>
        <v>1277663.8979100001</v>
      </c>
      <c r="G22" s="223">
        <f>SUM(G15:G21)</f>
        <v>1322382.1343368499</v>
      </c>
      <c r="I22" s="223">
        <f>SUM(I15:I21)</f>
        <v>1368665.5090386395</v>
      </c>
      <c r="K22" s="223">
        <f>SUM(K15:K21)</f>
        <v>1416568.8018549916</v>
      </c>
      <c r="M22" s="223">
        <f>SUM(M15:M21)</f>
        <v>1466148.7099199165</v>
      </c>
      <c r="O22" s="223">
        <f>SUM(O15:O21)</f>
        <v>1517463.9147671133</v>
      </c>
      <c r="Q22" s="223">
        <f>SUM(Q15:Q21)</f>
        <v>1570575.1517839623</v>
      </c>
      <c r="S22" s="223">
        <f>SUM(S15:S21)</f>
        <v>1625545.2820964006</v>
      </c>
      <c r="U22" s="223">
        <f>SUM(U15:U21)</f>
        <v>1682439.3669697745</v>
      </c>
      <c r="W22" s="223">
        <f>SUM(W15:W21)</f>
        <v>1741324.7448137167</v>
      </c>
      <c r="Y22" s="223">
        <f>SUM(Y15:Y21)</f>
        <v>1802271.1108821966</v>
      </c>
      <c r="AA22" s="223">
        <f>SUM(AA15:AA21)</f>
        <v>1865350.5997630735</v>
      </c>
      <c r="AC22" s="223">
        <f>SUM(AC15:AC21)</f>
        <v>1930637.8707547805</v>
      </c>
      <c r="AE22" s="223">
        <f>SUM(AE15:AE21)</f>
        <v>1998210.1962311978</v>
      </c>
      <c r="AG22" s="223">
        <f>SUM(AG15:AG21)</f>
        <v>2068147.5530992898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Application!AC897</f>
        <v>30000</v>
      </c>
      <c r="F27" s="222"/>
      <c r="G27" s="222">
        <f>E27*$C$27</f>
        <v>31049.999999999996</v>
      </c>
      <c r="H27" s="222"/>
      <c r="I27" s="222">
        <f>G27*$C$27</f>
        <v>32136.749999999993</v>
      </c>
      <c r="J27" s="222"/>
      <c r="K27" s="222">
        <f>I27*$C$27</f>
        <v>33261.53624999999</v>
      </c>
      <c r="L27" s="222"/>
      <c r="M27" s="222">
        <f>K27*$C$27</f>
        <v>34425.690018749985</v>
      </c>
      <c r="N27" s="222"/>
      <c r="O27" s="222">
        <f>M27*$C$27</f>
        <v>35630.58916940623</v>
      </c>
      <c r="P27" s="222"/>
      <c r="Q27" s="222">
        <f>O27*$C$27</f>
        <v>36877.659790335449</v>
      </c>
      <c r="R27" s="222"/>
      <c r="S27" s="222">
        <f>Q27*$C$27</f>
        <v>38168.377882997185</v>
      </c>
      <c r="T27" s="222"/>
      <c r="U27" s="222">
        <f>S27*$C$27</f>
        <v>39504.271108902081</v>
      </c>
      <c r="V27" s="222"/>
      <c r="W27" s="222">
        <f>U27*$C$27</f>
        <v>40886.920597713652</v>
      </c>
      <c r="X27" s="222"/>
      <c r="Y27" s="222">
        <f>W27*$C$27</f>
        <v>42317.962818633627</v>
      </c>
      <c r="Z27" s="222"/>
      <c r="AA27" s="222">
        <f>Y27*$C$27</f>
        <v>43799.0915172858</v>
      </c>
      <c r="AB27" s="222"/>
      <c r="AC27" s="222">
        <f>AA27*$C$27</f>
        <v>45332.059720390796</v>
      </c>
      <c r="AD27" s="222"/>
      <c r="AE27" s="222">
        <f>AC27*$C$27</f>
        <v>46918.681810604474</v>
      </c>
      <c r="AF27" s="222"/>
      <c r="AG27" s="222">
        <f>AE27*$C$27</f>
        <v>48560.835673975627</v>
      </c>
    </row>
    <row r="28" spans="1:33" s="210" customFormat="1" ht="14.25">
      <c r="A28" s="210" t="s">
        <v>844</v>
      </c>
      <c r="C28" s="237"/>
      <c r="E28" s="222">
        <f>Application!AC898</f>
        <v>72000</v>
      </c>
      <c r="F28" s="222"/>
      <c r="G28" s="222">
        <f>$E$28</f>
        <v>72000</v>
      </c>
      <c r="H28" s="222"/>
      <c r="I28" s="222">
        <f>$E$28</f>
        <v>72000</v>
      </c>
      <c r="J28" s="222"/>
      <c r="K28" s="222">
        <f>$E$28</f>
        <v>72000</v>
      </c>
      <c r="L28" s="222"/>
      <c r="M28" s="222">
        <f>$E$28</f>
        <v>72000</v>
      </c>
      <c r="N28" s="222"/>
      <c r="O28" s="222">
        <f>$E$28</f>
        <v>72000</v>
      </c>
      <c r="P28" s="222"/>
      <c r="Q28" s="222">
        <f>$E$28</f>
        <v>72000</v>
      </c>
      <c r="R28" s="222"/>
      <c r="S28" s="222">
        <f>$E$28</f>
        <v>72000</v>
      </c>
      <c r="T28" s="222"/>
      <c r="U28" s="222">
        <f>$E$28</f>
        <v>72000</v>
      </c>
      <c r="V28" s="222"/>
      <c r="W28" s="222">
        <f>$E$28</f>
        <v>72000</v>
      </c>
      <c r="X28" s="222"/>
      <c r="Y28" s="222">
        <f>$E$28</f>
        <v>72000</v>
      </c>
      <c r="Z28" s="222"/>
      <c r="AA28" s="222">
        <f>$E$28</f>
        <v>72000</v>
      </c>
      <c r="AB28" s="222"/>
      <c r="AC28" s="222">
        <f>$E$28</f>
        <v>72000</v>
      </c>
      <c r="AD28" s="222"/>
      <c r="AE28" s="222">
        <f>$E$28</f>
        <v>72000</v>
      </c>
      <c r="AF28" s="222"/>
      <c r="AG28" s="222">
        <f>$E$28</f>
        <v>72000</v>
      </c>
    </row>
    <row r="29" spans="1:33" s="210" customFormat="1" ht="14.25">
      <c r="A29" s="210" t="s">
        <v>1667</v>
      </c>
      <c r="C29" s="237"/>
      <c r="E29" s="222">
        <f>Application!AC899</f>
        <v>16900</v>
      </c>
      <c r="F29" s="222"/>
      <c r="G29" s="222">
        <f>$E$29</f>
        <v>16900</v>
      </c>
      <c r="H29" s="222"/>
      <c r="I29" s="222">
        <f>$E$29</f>
        <v>16900</v>
      </c>
      <c r="J29" s="222"/>
      <c r="K29" s="222">
        <f>$E$29</f>
        <v>16900</v>
      </c>
      <c r="L29" s="222"/>
      <c r="M29" s="222">
        <f>$E$29</f>
        <v>16900</v>
      </c>
      <c r="N29" s="222"/>
      <c r="O29" s="222">
        <f>$E$29</f>
        <v>16900</v>
      </c>
      <c r="P29" s="222"/>
      <c r="Q29" s="222">
        <f>$E$29</f>
        <v>16900</v>
      </c>
      <c r="R29" s="222"/>
      <c r="S29" s="222">
        <f>$E$29</f>
        <v>16900</v>
      </c>
      <c r="T29" s="222"/>
      <c r="U29" s="222">
        <f>$E$29</f>
        <v>16900</v>
      </c>
      <c r="V29" s="222"/>
      <c r="W29" s="222">
        <f>$E$29</f>
        <v>16900</v>
      </c>
      <c r="X29" s="222"/>
      <c r="Y29" s="222">
        <f>$E$29</f>
        <v>16900</v>
      </c>
      <c r="Z29" s="222"/>
      <c r="AA29" s="222">
        <f>$E$29</f>
        <v>16900</v>
      </c>
      <c r="AB29" s="222"/>
      <c r="AC29" s="222">
        <f>$E$29</f>
        <v>16900</v>
      </c>
      <c r="AD29" s="222"/>
      <c r="AE29" s="222">
        <f>$E$29</f>
        <v>16900</v>
      </c>
      <c r="AF29" s="222"/>
      <c r="AG29" s="222">
        <f>$E$29</f>
        <v>16900</v>
      </c>
    </row>
    <row r="30" spans="1:33" s="210" customFormat="1" ht="14.25">
      <c r="A30" s="210" t="s">
        <v>842</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1668</v>
      </c>
      <c r="C31" s="237">
        <v>1.02</v>
      </c>
      <c r="E31" s="222">
        <f>Application!AC902</f>
        <v>130953.31200000002</v>
      </c>
      <c r="F31" s="222"/>
      <c r="G31" s="222">
        <f>E31*$C$31</f>
        <v>133572.37824000002</v>
      </c>
      <c r="H31" s="222"/>
      <c r="I31" s="222">
        <f>G31*$C$31</f>
        <v>136243.82580480003</v>
      </c>
      <c r="J31" s="222"/>
      <c r="K31" s="222">
        <f>I31*$C$31</f>
        <v>138968.70232089603</v>
      </c>
      <c r="L31" s="222"/>
      <c r="M31" s="222">
        <f>K31*$C$31</f>
        <v>141748.07636731394</v>
      </c>
      <c r="N31" s="222"/>
      <c r="O31" s="222">
        <f>M31*$C$31</f>
        <v>144583.03789466023</v>
      </c>
      <c r="P31" s="222"/>
      <c r="Q31" s="222">
        <f>O31*$C$31</f>
        <v>147474.69865255343</v>
      </c>
      <c r="R31" s="222"/>
      <c r="S31" s="222">
        <f>Q31*$C$31</f>
        <v>150424.19262560451</v>
      </c>
      <c r="T31" s="222"/>
      <c r="U31" s="222">
        <f>S31*$C$31</f>
        <v>153432.6764781166</v>
      </c>
      <c r="V31" s="222"/>
      <c r="W31" s="222">
        <f>U31*$C$31</f>
        <v>156501.33000767895</v>
      </c>
      <c r="X31" s="222"/>
      <c r="Y31" s="222">
        <f>W31*$C$31</f>
        <v>159631.35660783254</v>
      </c>
      <c r="Z31" s="222"/>
      <c r="AA31" s="222">
        <f>Y31*$C$31</f>
        <v>162823.9837399892</v>
      </c>
      <c r="AB31" s="222"/>
      <c r="AC31" s="222">
        <f>AA31*$C$31</f>
        <v>166080.46341478897</v>
      </c>
      <c r="AD31" s="222"/>
      <c r="AE31" s="222">
        <f>AC31*$C$31</f>
        <v>169402.07268308476</v>
      </c>
      <c r="AF31" s="222"/>
      <c r="AG31" s="222">
        <f>AE31*$C$31</f>
        <v>172790.11413674644</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1527517.20991</v>
      </c>
      <c r="G35" s="223">
        <f>SUM(G22:G33)</f>
        <v>1575904.5125768499</v>
      </c>
      <c r="I35" s="223">
        <f>SUM(I22:I33)</f>
        <v>1625946.0848434395</v>
      </c>
      <c r="K35" s="223">
        <f>SUM(K22:K33)</f>
        <v>1677699.0404258876</v>
      </c>
      <c r="M35" s="223">
        <f>SUM(M22:M33)</f>
        <v>1731222.4763059805</v>
      </c>
      <c r="O35" s="223">
        <f>SUM(O22:O33)</f>
        <v>1786577.5418311798</v>
      </c>
      <c r="Q35" s="223">
        <f>SUM(Q22:Q33)</f>
        <v>1843827.5102268511</v>
      </c>
      <c r="S35" s="223">
        <f>SUM(S22:S33)</f>
        <v>1903037.8526050025</v>
      </c>
      <c r="U35" s="223">
        <f>SUM(U22:U33)</f>
        <v>1964276.3145567931</v>
      </c>
      <c r="W35" s="223">
        <f>SUM(W22:W33)</f>
        <v>2027612.9954191092</v>
      </c>
      <c r="Y35" s="223">
        <f>SUM(Y22:Y33)</f>
        <v>2093120.4303086626</v>
      </c>
      <c r="AA35" s="223">
        <f>SUM(AA22:AA33)</f>
        <v>2160873.6750203487</v>
      </c>
      <c r="AC35" s="223">
        <f>SUM(AC22:AC33)</f>
        <v>2230950.3938899604</v>
      </c>
      <c r="AE35" s="223">
        <f>SUM(AE22:AE33)</f>
        <v>2303430.9507248867</v>
      </c>
      <c r="AG35" s="223">
        <f>SUM(AG22:AG33)</f>
        <v>2378398.5029100119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845</v>
      </c>
      <c r="C37" s="224"/>
      <c r="E37" s="223">
        <f>E11-E35</f>
        <v>2988910.4180899998</v>
      </c>
      <c r="G37" s="223">
        <f>G11-G35</f>
        <v>3053433.8061231496</v>
      </c>
      <c r="I37" s="223">
        <f>I11-I35</f>
        <v>3119125.6918240585</v>
      </c>
      <c r="K37" s="223">
        <f>K11-K35</f>
        <v>3185999.5306582972</v>
      </c>
      <c r="M37" s="223">
        <f>M11-M35</f>
        <v>3254068.5590553097</v>
      </c>
      <c r="O37" s="223">
        <f>O11-O35</f>
        <v>3323345.7694141427</v>
      </c>
      <c r="Q37" s="223">
        <f>Q11-Q35</f>
        <v>3393843.8837996023</v>
      </c>
      <c r="S37" s="223">
        <f>S11-S35</f>
        <v>3465575.3262721128</v>
      </c>
      <c r="U37" s="223">
        <f>U11-U35</f>
        <v>3538552.1937922491</v>
      </c>
      <c r="W37" s="223">
        <f>W11-W35</f>
        <v>3612786.2256386587</v>
      </c>
      <c r="Y37" s="223">
        <f>Y11-Y35</f>
        <v>3688288.7712755483</v>
      </c>
      <c r="AA37" s="223">
        <f>AA11-AA35</f>
        <v>3765070.7566034668</v>
      </c>
      <c r="AC37" s="223">
        <f>AC11-AC35</f>
        <v>3843142.6485244506</v>
      </c>
      <c r="AE37" s="223">
        <f>AE11-AE35</f>
        <v>3922514.4177498836</v>
      </c>
      <c r="AG37" s="223">
        <f>AG11-AG35</f>
        <v>4003195.4997766265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Freddie Mac / Berkadia</v>
      </c>
      <c r="B40" s="226"/>
      <c r="C40" s="220"/>
      <c r="E40" s="222">
        <f>Application!AF635</f>
        <v>2049069.635222693</v>
      </c>
      <c r="F40" s="222"/>
      <c r="G40" s="222">
        <f>$E$40</f>
        <v>2049069.635222693</v>
      </c>
      <c r="H40" s="222"/>
      <c r="I40" s="222">
        <f>$E$40</f>
        <v>2049069.635222693</v>
      </c>
      <c r="J40" s="222"/>
      <c r="K40" s="222">
        <f>$E$40</f>
        <v>2049069.635222693</v>
      </c>
      <c r="L40" s="222"/>
      <c r="M40" s="222">
        <f>$E$40</f>
        <v>2049069.635222693</v>
      </c>
      <c r="N40" s="222"/>
      <c r="O40" s="222">
        <f>$E$40</f>
        <v>2049069.635222693</v>
      </c>
      <c r="P40" s="222"/>
      <c r="Q40" s="222">
        <f>$E$40</f>
        <v>2049069.635222693</v>
      </c>
      <c r="R40" s="222"/>
      <c r="S40" s="222">
        <f>$E$40</f>
        <v>2049069.635222693</v>
      </c>
      <c r="T40" s="222"/>
      <c r="U40" s="222">
        <f>$E$40</f>
        <v>2049069.635222693</v>
      </c>
      <c r="V40" s="222"/>
      <c r="W40" s="222">
        <f>$E$40</f>
        <v>2049069.635222693</v>
      </c>
      <c r="X40" s="222"/>
      <c r="Y40" s="222">
        <f>$E$40</f>
        <v>2049069.635222693</v>
      </c>
      <c r="Z40" s="222"/>
      <c r="AA40" s="222">
        <f>$E$40</f>
        <v>2049069.635222693</v>
      </c>
      <c r="AB40" s="222"/>
      <c r="AC40" s="222">
        <f>$E$40</f>
        <v>2049069.635222693</v>
      </c>
      <c r="AD40" s="222"/>
      <c r="AE40" s="222">
        <f>$E$40</f>
        <v>2049069.635222693</v>
      </c>
      <c r="AF40" s="222"/>
      <c r="AG40" s="222">
        <f>$E$40</f>
        <v>2049069.635222693</v>
      </c>
    </row>
    <row r="41" spans="1:33" s="210" customFormat="1" ht="14.25">
      <c r="A41" s="225" t="str">
        <f>Application!C636</f>
        <v>Freddie Mac / Berkadia</v>
      </c>
      <c r="B41" s="226"/>
      <c r="C41" s="220"/>
      <c r="E41" s="222">
        <f>Application!AF636</f>
        <v>199584.70472948308</v>
      </c>
      <c r="F41" s="222"/>
      <c r="G41" s="222">
        <f>$E$41</f>
        <v>199584.70472948308</v>
      </c>
      <c r="H41" s="222"/>
      <c r="I41" s="222">
        <f>$E$41</f>
        <v>199584.70472948308</v>
      </c>
      <c r="J41" s="222"/>
      <c r="K41" s="222">
        <f>$E$41</f>
        <v>199584.70472948308</v>
      </c>
      <c r="L41" s="222"/>
      <c r="M41" s="222">
        <f>$E$41</f>
        <v>199584.70472948308</v>
      </c>
      <c r="N41" s="222"/>
      <c r="O41" s="222">
        <f>$E$41</f>
        <v>199584.70472948308</v>
      </c>
      <c r="P41" s="222"/>
      <c r="Q41" s="222">
        <f>$E$41</f>
        <v>199584.70472948308</v>
      </c>
      <c r="R41" s="222"/>
      <c r="S41" s="222">
        <f>$E$41</f>
        <v>199584.70472948308</v>
      </c>
      <c r="T41" s="222"/>
      <c r="U41" s="222">
        <f>$E$41</f>
        <v>199584.70472948308</v>
      </c>
      <c r="V41" s="222"/>
      <c r="W41" s="222">
        <f>$E$41</f>
        <v>199584.70472948308</v>
      </c>
      <c r="X41" s="222"/>
      <c r="Y41" s="222">
        <f>$E$41</f>
        <v>199584.70472948308</v>
      </c>
      <c r="Z41" s="222"/>
      <c r="AA41" s="222">
        <f>$E$41</f>
        <v>199584.70472948308</v>
      </c>
      <c r="AB41" s="222"/>
      <c r="AC41" s="222">
        <f>$E$41</f>
        <v>199584.70472948308</v>
      </c>
      <c r="AD41" s="222"/>
      <c r="AE41" s="222">
        <f>$E$41</f>
        <v>199584.70472948308</v>
      </c>
      <c r="AF41" s="222"/>
      <c r="AG41" s="222">
        <f>$E$41</f>
        <v>199584.70472948308</v>
      </c>
    </row>
    <row r="42" spans="1:33" s="210" customFormat="1" ht="14.25">
      <c r="A42" s="225" t="str">
        <f>Application!C637</f>
        <v>Freddie Mac / Berkadia</v>
      </c>
      <c r="B42" s="226"/>
      <c r="C42" s="220"/>
      <c r="E42" s="222">
        <f>Application!AF637</f>
        <v>350398.1975173899</v>
      </c>
      <c r="F42" s="222"/>
      <c r="G42" s="232">
        <f>$E$42</f>
        <v>350398.1975173899</v>
      </c>
      <c r="H42" s="222"/>
      <c r="I42" s="232">
        <f>$E$42</f>
        <v>350398.1975173899</v>
      </c>
      <c r="J42" s="222"/>
      <c r="K42" s="232">
        <f>$E$42</f>
        <v>350398.1975173899</v>
      </c>
      <c r="L42" s="222"/>
      <c r="M42" s="232">
        <f>$E$42</f>
        <v>350398.1975173899</v>
      </c>
      <c r="N42" s="222"/>
      <c r="O42" s="232">
        <f>$E$42</f>
        <v>350398.1975173899</v>
      </c>
      <c r="P42" s="222"/>
      <c r="Q42" s="232">
        <f>$E$42</f>
        <v>350398.1975173899</v>
      </c>
      <c r="R42" s="222"/>
      <c r="S42" s="232">
        <f>$E$42</f>
        <v>350398.1975173899</v>
      </c>
      <c r="T42" s="222"/>
      <c r="U42" s="232">
        <f>$E$42</f>
        <v>350398.1975173899</v>
      </c>
      <c r="V42" s="222"/>
      <c r="W42" s="232">
        <f>$E$42</f>
        <v>350398.1975173899</v>
      </c>
      <c r="X42" s="222"/>
      <c r="Y42" s="232">
        <f>$E$42</f>
        <v>350398.1975173899</v>
      </c>
      <c r="Z42" s="222"/>
      <c r="AA42" s="232">
        <f>$E$42</f>
        <v>350398.1975173899</v>
      </c>
      <c r="AB42" s="222"/>
      <c r="AC42" s="232">
        <f>$E$42</f>
        <v>350398.1975173899</v>
      </c>
      <c r="AD42" s="222"/>
      <c r="AE42" s="232">
        <f>$E$42</f>
        <v>350398.1975173899</v>
      </c>
      <c r="AF42" s="222"/>
      <c r="AG42" s="232">
        <f>$E$42</f>
        <v>350398.1975173899</v>
      </c>
    </row>
    <row r="43" spans="1:33" s="223" customFormat="1" ht="15">
      <c r="A43" s="223" t="s">
        <v>846</v>
      </c>
      <c r="C43" s="224"/>
      <c r="E43" s="223">
        <f>SUM(E40:E42)</f>
        <v>2599052.5374695659</v>
      </c>
      <c r="G43" s="223">
        <f>SUM(G40:G42)</f>
        <v>2599052.5374695659</v>
      </c>
      <c r="I43" s="223">
        <f>SUM(I40:I42)</f>
        <v>2599052.5374695659</v>
      </c>
      <c r="K43" s="223">
        <f>SUM(K40:K42)</f>
        <v>2599052.5374695659</v>
      </c>
      <c r="M43" s="223">
        <f>SUM(M40:M42)</f>
        <v>2599052.5374695659</v>
      </c>
      <c r="O43" s="223">
        <f>SUM(O40:O42)</f>
        <v>2599052.5374695659</v>
      </c>
      <c r="Q43" s="223">
        <f>SUM(Q40:Q42)</f>
        <v>2599052.5374695659</v>
      </c>
      <c r="S43" s="223">
        <f>SUM(S40:S42)</f>
        <v>2599052.5374695659</v>
      </c>
      <c r="U43" s="223">
        <f>SUM(U40:U42)</f>
        <v>2599052.5374695659</v>
      </c>
      <c r="W43" s="223">
        <f>SUM(W40:W42)</f>
        <v>2599052.5374695659</v>
      </c>
      <c r="Y43" s="223">
        <f>SUM(Y40:Y42)</f>
        <v>2599052.5374695659</v>
      </c>
      <c r="AA43" s="223">
        <f>SUM(AA40:AA42)</f>
        <v>2599052.5374695659</v>
      </c>
      <c r="AC43" s="223">
        <f>SUM(AC40:AC42)</f>
        <v>2599052.5374695659</v>
      </c>
      <c r="AE43" s="223">
        <f>SUM(AE40:AE42)</f>
        <v>2599052.5374695659</v>
      </c>
      <c r="AG43" s="223">
        <f>SUM(AG40:AG42)</f>
        <v>2599052.5374695659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847</v>
      </c>
      <c r="C45" s="224"/>
      <c r="E45" s="223">
        <f>E37-E43</f>
        <v>389857.88062043395</v>
      </c>
      <c r="G45" s="223">
        <f>G37-G43</f>
        <v>454381.26865358371</v>
      </c>
      <c r="I45" s="223">
        <f>I37-I43</f>
        <v>520073.15435449267</v>
      </c>
      <c r="K45" s="223">
        <f>K37-K43</f>
        <v>586946.99318873137</v>
      </c>
      <c r="M45" s="223">
        <f>M37-M43</f>
        <v>655016.02158574387</v>
      </c>
      <c r="O45" s="223">
        <f>O37-O43</f>
        <v>724293.23194457684</v>
      </c>
      <c r="Q45" s="223">
        <f>Q37-Q43</f>
        <v>794791.34633003641</v>
      </c>
      <c r="S45" s="223">
        <f>S37-S43</f>
        <v>866522.78880254691</v>
      </c>
      <c r="U45" s="223">
        <f>U37-U43</f>
        <v>939499.65632268321</v>
      </c>
      <c r="W45" s="223">
        <f>W37-W43</f>
        <v>1013733.6881690929</v>
      </c>
      <c r="Y45" s="223">
        <f>Y37-Y43</f>
        <v>1089236.2338059824</v>
      </c>
      <c r="AA45" s="223">
        <f>AA37-AA43</f>
        <v>1166018.2191339009</v>
      </c>
      <c r="AC45" s="223">
        <f>AC37-AC43</f>
        <v>1244090.1110548847</v>
      </c>
      <c r="AE45" s="223">
        <f>AE37-AE43</f>
        <v>1323461.8802803177</v>
      </c>
      <c r="AG45" s="223">
        <f>AG37-AG43</f>
        <v>1404142.9623070606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E45/(E4+E6+E8)</f>
        <v>8.2003967979759299E-2</v>
      </c>
      <c r="G47" s="227">
        <f>G45/(G4+G6+G8)</f>
        <v>9.3244903591777881E-2</v>
      </c>
      <c r="I47" s="227">
        <f>I45/(I4+I6+I8)</f>
        <v>0.10412266028644922</v>
      </c>
      <c r="K47" s="227">
        <f>K45/(K4+K6+K8)</f>
        <v>0.11464518933067806</v>
      </c>
      <c r="M47" s="227">
        <f>M45/(M4+M6+M8)</f>
        <v>0.12482023939879378</v>
      </c>
      <c r="O47" s="227">
        <f>O45/(O4+O6+O8)</f>
        <v>0.13465536142843967</v>
      </c>
      <c r="Q47" s="227">
        <f>Q45/(Q4+Q6+Q8)</f>
        <v>0.14415791335719697</v>
      </c>
      <c r="S47" s="227">
        <f>S45/(S4+S6+S8)</f>
        <v>0.15333506474284617</v>
      </c>
      <c r="U47" s="227">
        <f>U45/(U4+U6+U8)</f>
        <v>0.16219380127008975</v>
      </c>
      <c r="W47" s="227">
        <f>W45/(W4+W6+W8)</f>
        <v>0.1707409291465071</v>
      </c>
      <c r="Y47" s="227">
        <f>Y45/(Y4+Y6+Y8)</f>
        <v>0.17898307939042549</v>
      </c>
      <c r="AA47" s="227">
        <f>AA45/(AA4+AA6+AA8)</f>
        <v>0.18692671201334085</v>
      </c>
      <c r="AC47" s="227">
        <f>AC45/(AC4+AC6+AC8)</f>
        <v>0.19457812009944928</v>
      </c>
      <c r="AE47" s="227">
        <f>AE45/(AE4+AE6+AE8)</f>
        <v>0.20194343378478952</v>
      </c>
      <c r="AG47" s="227">
        <f>AG45/(AG4+AG6+AG8)</f>
        <v>0.20902862413843989</v>
      </c>
    </row>
    <row r="48" spans="1:33" s="227" customFormat="1" ht="14.25">
      <c r="A48" s="227" t="s">
        <v>850</v>
      </c>
      <c r="C48" s="220"/>
      <c r="E48" s="227">
        <f>E45/E43</f>
        <v>0.14999999999999963</v>
      </c>
      <c r="G48" s="227">
        <f>G45/G43</f>
        <v>0.17482573441780777</v>
      </c>
      <c r="I48" s="227">
        <f>I45/I43</f>
        <v>0.2001010548485623</v>
      </c>
      <c r="K48" s="227">
        <f>K45/K43</f>
        <v>0.22583113835789645</v>
      </c>
      <c r="M48" s="227">
        <f>M45/M43</f>
        <v>0.25202107773606863</v>
      </c>
      <c r="O48" s="227">
        <f>O45/O43</f>
        <v>0.27867587188127707</v>
      </c>
      <c r="Q48" s="227">
        <f>Q45/Q43</f>
        <v>0.30580041567910904</v>
      </c>
      <c r="S48" s="227">
        <f>S45/S43</f>
        <v>0.33339948935629921</v>
      </c>
      <c r="U48" s="227">
        <f>U45/U43</f>
        <v>0.36147774728608556</v>
      </c>
      <c r="W48" s="227">
        <f>W45/W43</f>
        <v>0.39003970622158435</v>
      </c>
      <c r="Y48" s="227">
        <f>Y45/Y43</f>
        <v>0.41908973293262525</v>
      </c>
      <c r="AA48" s="227">
        <f>AA45/AA43</f>
        <v>0.4486320312205519</v>
      </c>
      <c r="AC48" s="227">
        <f>AC45/AC43</f>
        <v>0.47867062828446294</v>
      </c>
      <c r="AE48" s="227">
        <f>AE45/AE43</f>
        <v>0.50920936041132836</v>
      </c>
      <c r="AG48" s="227">
        <f>AG45/AG43</f>
        <v>0.54025185796133712</v>
      </c>
    </row>
    <row r="49" spans="1:34" s="228" customFormat="1" ht="14.25">
      <c r="A49" s="228" t="s">
        <v>848</v>
      </c>
      <c r="C49" s="229"/>
      <c r="E49" s="228">
        <f>E37/E43</f>
        <v>1.1499999999999997</v>
      </c>
      <c r="G49" s="228">
        <f>G37/G43</f>
        <v>1.1748257344178077</v>
      </c>
      <c r="I49" s="228">
        <f>I37/I43</f>
        <v>1.2001010548485622</v>
      </c>
      <c r="K49" s="228">
        <f>K37/K43</f>
        <v>1.2258311383578964</v>
      </c>
      <c r="M49" s="228">
        <f>M37/M43</f>
        <v>1.2520210777360685</v>
      </c>
      <c r="O49" s="228">
        <f>O37/O43</f>
        <v>1.2786758718812772</v>
      </c>
      <c r="Q49" s="228">
        <f>Q37/Q43</f>
        <v>1.305800415679109</v>
      </c>
      <c r="S49" s="228">
        <f>S37/S43</f>
        <v>1.3333994893562993</v>
      </c>
      <c r="U49" s="228">
        <f>U37/U43</f>
        <v>1.3614777472860855</v>
      </c>
      <c r="W49" s="228">
        <f>W37/W43</f>
        <v>1.3900397062215843</v>
      </c>
      <c r="Y49" s="228">
        <f>Y37/Y43</f>
        <v>1.4190897329326253</v>
      </c>
      <c r="AA49" s="228">
        <f>AA37/AA43</f>
        <v>1.4486320312205518</v>
      </c>
      <c r="AC49" s="228">
        <f>AC37/AC43</f>
        <v>1.4786706282844628</v>
      </c>
      <c r="AE49" s="228">
        <f>AE37/AE43</f>
        <v>1.5092093604113284</v>
      </c>
      <c r="AG49" s="228">
        <f>AG37/AG43</f>
        <v>1.5402518579613371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2769</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v>1.03</v>
      </c>
      <c r="E53" s="960">
        <v>20000</v>
      </c>
      <c r="G53" s="956">
        <f>E53*$C$53</f>
        <v>20600</v>
      </c>
      <c r="I53" s="956">
        <f>G53*$C$53</f>
        <v>21218</v>
      </c>
      <c r="K53" s="956">
        <f>I53*$C$53</f>
        <v>21854.54</v>
      </c>
      <c r="M53" s="956">
        <f>K53*$C$53</f>
        <v>22510.176200000002</v>
      </c>
      <c r="O53" s="956">
        <f>M53*$C$53</f>
        <v>23185.481486000001</v>
      </c>
      <c r="Q53" s="956">
        <f>O53*$C$53</f>
        <v>23881.04593058</v>
      </c>
      <c r="S53" s="956">
        <f>Q53*$C$53</f>
        <v>24597.4773084974</v>
      </c>
      <c r="U53" s="956">
        <f>S53*$C$53</f>
        <v>25335.401627752322</v>
      </c>
      <c r="W53" s="956">
        <f>U53*$C$53</f>
        <v>26095.463676584892</v>
      </c>
      <c r="Y53" s="956">
        <f>W53*$C$53</f>
        <v>26878.327586882438</v>
      </c>
      <c r="AA53" s="956">
        <f>Y53*$C$53</f>
        <v>27684.677414488913</v>
      </c>
      <c r="AC53" s="956">
        <f>AA53*$C$53</f>
        <v>28515.21773692358</v>
      </c>
      <c r="AE53" s="956">
        <f>AC53*$C$53</f>
        <v>29370.674269031289</v>
      </c>
      <c r="AG53" s="956">
        <f>AE53*$C$53</f>
        <v>30251.79449710223</v>
      </c>
    </row>
    <row r="54" spans="1:34" s="3" customFormat="1">
      <c r="A54" s="3" t="s">
        <v>853</v>
      </c>
      <c r="C54" s="954"/>
      <c r="E54" s="961">
        <v>20000</v>
      </c>
      <c r="F54" s="956"/>
      <c r="G54" s="956">
        <f t="shared" ref="G54:AG57" si="1">E54*$C$53</f>
        <v>20600</v>
      </c>
      <c r="H54" s="956"/>
      <c r="I54" s="956">
        <f t="shared" si="1"/>
        <v>21218</v>
      </c>
      <c r="J54" s="956"/>
      <c r="K54" s="956">
        <f t="shared" si="1"/>
        <v>21854.54</v>
      </c>
      <c r="L54" s="956"/>
      <c r="M54" s="956">
        <f t="shared" si="1"/>
        <v>22510.176200000002</v>
      </c>
      <c r="N54" s="956"/>
      <c r="O54" s="956">
        <f t="shared" si="1"/>
        <v>23185.481486000001</v>
      </c>
      <c r="P54" s="956"/>
      <c r="Q54" s="956">
        <f t="shared" si="1"/>
        <v>23881.04593058</v>
      </c>
      <c r="R54" s="956"/>
      <c r="S54" s="956">
        <f t="shared" si="1"/>
        <v>24597.4773084974</v>
      </c>
      <c r="T54" s="956"/>
      <c r="U54" s="956">
        <f t="shared" si="1"/>
        <v>25335.401627752322</v>
      </c>
      <c r="V54" s="956"/>
      <c r="W54" s="956">
        <f t="shared" si="1"/>
        <v>26095.463676584892</v>
      </c>
      <c r="X54" s="956"/>
      <c r="Y54" s="956">
        <f t="shared" si="1"/>
        <v>26878.327586882438</v>
      </c>
      <c r="Z54" s="956"/>
      <c r="AA54" s="956">
        <f t="shared" si="1"/>
        <v>27684.677414488913</v>
      </c>
      <c r="AB54" s="956"/>
      <c r="AC54" s="956">
        <f t="shared" si="1"/>
        <v>28515.21773692358</v>
      </c>
      <c r="AD54" s="956"/>
      <c r="AE54" s="956">
        <f t="shared" si="1"/>
        <v>29370.674269031289</v>
      </c>
      <c r="AF54" s="956"/>
      <c r="AG54" s="956">
        <f t="shared" si="1"/>
        <v>30251.79449710223</v>
      </c>
      <c r="AH54" s="956"/>
    </row>
    <row r="55" spans="1:34" s="3" customFormat="1">
      <c r="A55" s="3" t="s">
        <v>854</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851</v>
      </c>
      <c r="C58" s="957"/>
      <c r="E58" s="956">
        <f>SUM(E53:E57)</f>
        <v>40000</v>
      </c>
      <c r="F58" s="956"/>
      <c r="G58" s="956">
        <f>SUM(G53:G57)</f>
        <v>41200</v>
      </c>
      <c r="H58" s="956"/>
      <c r="I58" s="956">
        <f>SUM(I53:I57)</f>
        <v>42436</v>
      </c>
      <c r="J58" s="956"/>
      <c r="K58" s="956">
        <f>SUM(K53:K57)</f>
        <v>43709.08</v>
      </c>
      <c r="L58" s="956"/>
      <c r="M58" s="956">
        <f>SUM(M53:M57)</f>
        <v>45020.352400000003</v>
      </c>
      <c r="N58" s="956"/>
      <c r="O58" s="956">
        <f>SUM(O53:O57)</f>
        <v>46370.962972000001</v>
      </c>
      <c r="P58" s="956"/>
      <c r="Q58" s="956">
        <f>SUM(Q53:Q57)</f>
        <v>47762.091861159999</v>
      </c>
      <c r="R58" s="956"/>
      <c r="S58" s="956">
        <f>SUM(S53:S57)</f>
        <v>49194.954616994801</v>
      </c>
      <c r="T58" s="956"/>
      <c r="U58" s="956">
        <f>SUM(U53:U57)</f>
        <v>50670.803255504645</v>
      </c>
      <c r="V58" s="956"/>
      <c r="W58" s="956">
        <f>SUM(W53:W57)</f>
        <v>52190.927353169784</v>
      </c>
      <c r="X58" s="956"/>
      <c r="Y58" s="956">
        <f>SUM(Y53:Y57)</f>
        <v>53756.655173764877</v>
      </c>
      <c r="Z58" s="956"/>
      <c r="AA58" s="956">
        <f>SUM(AA53:AA57)</f>
        <v>55369.354828977826</v>
      </c>
      <c r="AB58" s="956"/>
      <c r="AC58" s="956">
        <f>SUM(AC53:AC57)</f>
        <v>57030.435473847159</v>
      </c>
      <c r="AD58" s="956"/>
      <c r="AE58" s="956">
        <f>SUM(AE53:AE57)</f>
        <v>58741.348538062579</v>
      </c>
      <c r="AF58" s="956"/>
      <c r="AG58" s="956">
        <f>SUM(AG53:AG57)</f>
        <v>60503.58899420446</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349857.88062043395</v>
      </c>
      <c r="G60" s="958">
        <f>G45-G58</f>
        <v>413181.26865358371</v>
      </c>
      <c r="I60" s="958">
        <f>I45-I58</f>
        <v>477637.15435449267</v>
      </c>
      <c r="K60" s="958">
        <f>K45-K58</f>
        <v>543237.91318873141</v>
      </c>
      <c r="M60" s="958">
        <f>M45-M58</f>
        <v>609995.6691857439</v>
      </c>
      <c r="O60" s="958">
        <f>O45-O58</f>
        <v>677922.26897257683</v>
      </c>
      <c r="Q60" s="958">
        <f>Q45-Q58</f>
        <v>747029.2544688764</v>
      </c>
      <c r="S60" s="958">
        <f>S45-S58</f>
        <v>817327.83418555208</v>
      </c>
      <c r="U60" s="958">
        <f>U45-U58</f>
        <v>888828.85306717851</v>
      </c>
      <c r="W60" s="958">
        <f>W45-W58</f>
        <v>961542.7608159231</v>
      </c>
      <c r="Y60" s="958">
        <f>Y45-Y58</f>
        <v>1035479.5786322175</v>
      </c>
      <c r="AA60" s="958">
        <f>AA45-AA58</f>
        <v>1110648.8643049232</v>
      </c>
      <c r="AC60" s="958">
        <f>AC45-AC58</f>
        <v>1187059.6755810375</v>
      </c>
      <c r="AE60" s="958">
        <f>AE45-AE58</f>
        <v>1264720.5317422552</v>
      </c>
      <c r="AG60" s="958">
        <f>AG45-AG58</f>
        <v>1343639.3733128561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0.5</v>
      </c>
      <c r="E62" s="960">
        <f>E60*$C$62</f>
        <v>174928.94031021697</v>
      </c>
      <c r="G62" s="958">
        <f>G60*$C$62</f>
        <v>206590.63432679186</v>
      </c>
      <c r="I62" s="958">
        <f>I60*$C$62</f>
        <v>238818.57717724633</v>
      </c>
      <c r="K62" s="958">
        <f>K60*$C$62</f>
        <v>271618.95659436571</v>
      </c>
      <c r="M62" s="958">
        <f>M60*$C$62</f>
        <v>304997.83459287195</v>
      </c>
      <c r="O62" s="958">
        <f>O60*$C$62</f>
        <v>338961.13448628841</v>
      </c>
      <c r="Q62" s="958">
        <f>Q60*$C$62</f>
        <v>373514.6272344382</v>
      </c>
      <c r="S62" s="958">
        <f>S60*$C$62</f>
        <v>408663.91709277604</v>
      </c>
      <c r="U62" s="958">
        <f>U60*$C$62</f>
        <v>444414.42653358926</v>
      </c>
      <c r="W62" s="958">
        <f>W60*$C$62</f>
        <v>480771.38040796155</v>
      </c>
      <c r="Y62" s="958">
        <f>Y60*$C$62</f>
        <v>517739.78931610874</v>
      </c>
      <c r="AA62" s="958">
        <f>AA60*$C$62</f>
        <v>555324.43215246161</v>
      </c>
      <c r="AC62" s="958">
        <f>AC60*$C$62</f>
        <v>593529.83779051877</v>
      </c>
      <c r="AE62" s="958">
        <f>AE60*$C$62</f>
        <v>632360.2658711276</v>
      </c>
      <c r="AG62" s="958">
        <f>AG60*$C$62</f>
        <v>671819.68665642804</v>
      </c>
    </row>
    <row r="63" spans="1:34" s="958" customFormat="1">
      <c r="A63" s="2686" t="s">
        <v>2769</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tr">
        <f>+Application!C564</f>
        <v>Stifel, Nicolaus &amp; Company, Incorporated</v>
      </c>
      <c r="B66" s="960"/>
      <c r="C66" s="959"/>
      <c r="E66" s="960">
        <f>$E60*$C$65</f>
        <v>174928.94031021697</v>
      </c>
      <c r="G66" s="956">
        <f>G60*$C$65</f>
        <v>206590.63432679186</v>
      </c>
      <c r="I66" s="956">
        <f>I60*$C$65</f>
        <v>238818.57717724633</v>
      </c>
      <c r="K66" s="956">
        <f>K60*$C$65</f>
        <v>271618.95659436571</v>
      </c>
      <c r="M66" s="956">
        <f>M60*$C$65</f>
        <v>304997.83459287195</v>
      </c>
      <c r="O66" s="956">
        <f>O60*$C$65</f>
        <v>338961.13448628841</v>
      </c>
      <c r="Q66" s="956">
        <f>Q60*$C$65</f>
        <v>373514.6272344382</v>
      </c>
      <c r="S66" s="956">
        <f>S60*$C$65</f>
        <v>408663.91709277604</v>
      </c>
      <c r="U66" s="956">
        <f>U60*$C$65</f>
        <v>444414.42653358926</v>
      </c>
      <c r="W66" s="956">
        <f>W60*$C$65</f>
        <v>480771.38040796155</v>
      </c>
      <c r="Y66" s="956">
        <f>Y60*$C$65</f>
        <v>517739.78931610874</v>
      </c>
      <c r="AA66" s="956">
        <f>AA60*$C$65</f>
        <v>555324.43215246161</v>
      </c>
      <c r="AC66" s="956">
        <f>AC60*$C$65</f>
        <v>593529.83779051877</v>
      </c>
      <c r="AE66" s="956">
        <f>AE60*$C$65</f>
        <v>632360.2658711276</v>
      </c>
      <c r="AG66" s="956">
        <f>AG60*$C$65</f>
        <v>671819.68665642804</v>
      </c>
    </row>
    <row r="67" spans="1:34" s="956" customFormat="1">
      <c r="A67" s="961"/>
      <c r="B67" s="961"/>
      <c r="C67" s="966"/>
      <c r="E67" s="960"/>
      <c r="G67" s="956">
        <v>0</v>
      </c>
      <c r="I67" s="956">
        <v>0</v>
      </c>
      <c r="K67" s="956">
        <v>0</v>
      </c>
      <c r="M67" s="956">
        <v>0</v>
      </c>
      <c r="O67" s="956">
        <v>0</v>
      </c>
      <c r="Q67" s="956">
        <v>0</v>
      </c>
      <c r="S67" s="956">
        <v>0</v>
      </c>
      <c r="U67" s="956">
        <v>0</v>
      </c>
      <c r="W67" s="956">
        <v>0</v>
      </c>
      <c r="Y67" s="956">
        <v>0</v>
      </c>
      <c r="AA67" s="956">
        <v>0</v>
      </c>
      <c r="AC67" s="956">
        <v>0</v>
      </c>
      <c r="AE67" s="956">
        <v>0</v>
      </c>
      <c r="AG67" s="956">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851</v>
      </c>
      <c r="C70" s="966"/>
      <c r="E70" s="956">
        <f>SUM(E66:E69)</f>
        <v>174928.94031021697</v>
      </c>
      <c r="G70" s="956">
        <f>SUM(G66:G69)</f>
        <v>206590.63432679186</v>
      </c>
      <c r="I70" s="956">
        <f>SUM(I66:I69)</f>
        <v>238818.57717724633</v>
      </c>
      <c r="K70" s="956">
        <f>SUM(K66:K69)</f>
        <v>271618.95659436571</v>
      </c>
      <c r="M70" s="956">
        <f>SUM(M66:M69)</f>
        <v>304997.83459287195</v>
      </c>
      <c r="O70" s="956">
        <f>SUM(O66:O69)</f>
        <v>338961.13448628841</v>
      </c>
      <c r="Q70" s="956">
        <f>SUM(Q66:Q69)</f>
        <v>373514.6272344382</v>
      </c>
      <c r="S70" s="956">
        <f>SUM(S66:S69)</f>
        <v>408663.91709277604</v>
      </c>
      <c r="U70" s="956">
        <f>SUM(U66:U69)</f>
        <v>444414.42653358926</v>
      </c>
      <c r="W70" s="956">
        <f>SUM(W66:W69)</f>
        <v>480771.38040796155</v>
      </c>
      <c r="Y70" s="956">
        <f>SUM(Y66:Y69)</f>
        <v>517739.78931610874</v>
      </c>
      <c r="AA70" s="956">
        <f>SUM(AA66:AA69)</f>
        <v>555324.43215246161</v>
      </c>
      <c r="AC70" s="956">
        <f>SUM(AC66:AC69)</f>
        <v>593529.83779051877</v>
      </c>
      <c r="AE70" s="956">
        <f>SUM(AE66:AE69)</f>
        <v>632360.2658711276</v>
      </c>
      <c r="AG70" s="956">
        <f>SUM(AG66:AG69)</f>
        <v>671819.68665642804</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4" t="s">
        <v>1708</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6700000</v>
      </c>
      <c r="C5" s="266">
        <f>'Sources and Uses Budget'!$C4</f>
        <v>6700000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SUM(B5:B8)</f>
        <v>6700000</v>
      </c>
      <c r="C9" s="270">
        <f>SUM(C5:C8)</f>
        <v>6700000</v>
      </c>
      <c r="D9" s="270">
        <f t="shared"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0</v>
      </c>
      <c r="C11" s="266">
        <f>'Sources and Uses Budget'!$C10</f>
        <v>0</v>
      </c>
      <c r="D11" s="270">
        <f t="shared" si="0"/>
        <v>0</v>
      </c>
      <c r="E11" s="268"/>
      <c r="F11" s="267"/>
    </row>
    <row r="12" spans="1:6" s="352" customFormat="1">
      <c r="A12" s="365" t="s">
        <v>594</v>
      </c>
      <c r="B12" s="270">
        <f>SUM(B10:B11)</f>
        <v>0</v>
      </c>
      <c r="C12" s="270">
        <f>SUM(C10:C11)</f>
        <v>0</v>
      </c>
      <c r="D12" s="270">
        <f t="shared" si="0"/>
        <v>0</v>
      </c>
      <c r="E12" s="268"/>
      <c r="F12" s="267"/>
    </row>
    <row r="13" spans="1:6" s="352" customFormat="1">
      <c r="A13" s="365" t="s">
        <v>84</v>
      </c>
      <c r="B13" s="270">
        <f>SUM(B9+B12)</f>
        <v>6700000</v>
      </c>
      <c r="C13" s="270">
        <f>SUM(C9+C12)</f>
        <v>6700000</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4">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596</v>
      </c>
      <c r="B30" s="266">
        <f>'Sources and Uses Budget'!$C29</f>
        <v>11231621</v>
      </c>
      <c r="C30" s="266">
        <f>'Sources and Uses Budget'!$C29</f>
        <v>11231621</v>
      </c>
      <c r="D30" s="270">
        <f t="shared" si="0"/>
        <v>0</v>
      </c>
      <c r="E30" s="268"/>
      <c r="F30" s="267"/>
    </row>
    <row r="31" spans="1:6" s="352" customFormat="1">
      <c r="A31" s="145" t="s">
        <v>597</v>
      </c>
      <c r="B31" s="266">
        <f>'Sources and Uses Budget'!$C30</f>
        <v>48000000</v>
      </c>
      <c r="C31" s="266">
        <f>'Sources and Uses Budget'!$C30</f>
        <v>48000000</v>
      </c>
      <c r="D31" s="270">
        <f t="shared" si="0"/>
        <v>0</v>
      </c>
      <c r="E31" s="268"/>
      <c r="F31" s="267"/>
    </row>
    <row r="32" spans="1:6" s="352" customFormat="1">
      <c r="A32" s="145" t="s">
        <v>598</v>
      </c>
      <c r="B32" s="266">
        <f>'Sources and Uses Budget'!$C31</f>
        <v>2400000</v>
      </c>
      <c r="C32" s="266">
        <f>'Sources and Uses Budget'!$C31</f>
        <v>2400000</v>
      </c>
      <c r="D32" s="270">
        <f t="shared" si="0"/>
        <v>0</v>
      </c>
      <c r="E32" s="268"/>
      <c r="F32" s="267"/>
    </row>
    <row r="33" spans="1:6" s="352" customFormat="1">
      <c r="A33" s="145" t="s">
        <v>137</v>
      </c>
      <c r="B33" s="266">
        <f>'Sources and Uses Budget'!$C32</f>
        <v>1200000</v>
      </c>
      <c r="C33" s="266">
        <f>'Sources and Uses Budget'!$C32</f>
        <v>1200000</v>
      </c>
      <c r="D33" s="270">
        <f t="shared" si="0"/>
        <v>0</v>
      </c>
      <c r="E33" s="268"/>
      <c r="F33" s="267"/>
    </row>
    <row r="34" spans="1:6" s="352" customFormat="1">
      <c r="A34" s="145" t="s">
        <v>138</v>
      </c>
      <c r="B34" s="266">
        <f>'Sources and Uses Budget'!$C33</f>
        <v>2400000</v>
      </c>
      <c r="C34" s="266">
        <f>'Sources and Uses Budget'!$C33</f>
        <v>2400000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768379</v>
      </c>
      <c r="C36" s="266">
        <f>'Sources and Uses Budget'!$C35</f>
        <v>768379</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Hard Costs Outside of GC Contract</v>
      </c>
      <c r="B38" s="266">
        <f>'Sources and Uses Budget'!$C37</f>
        <v>878400</v>
      </c>
      <c r="C38" s="266">
        <f>'Sources and Uses Budget'!$C37</f>
        <v>878400</v>
      </c>
      <c r="D38" s="270">
        <f t="shared" si="0"/>
        <v>0</v>
      </c>
      <c r="E38" s="268"/>
      <c r="F38" s="267"/>
    </row>
    <row r="39" spans="1:6" s="352" customFormat="1">
      <c r="A39" s="271" t="s">
        <v>143</v>
      </c>
      <c r="B39" s="270">
        <f>SUM(B30:B38)</f>
        <v>66878400</v>
      </c>
      <c r="C39" s="270">
        <f>SUM(C30:C38)</f>
        <v>66878400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1000000</v>
      </c>
      <c r="C41" s="266">
        <f>'Sources and Uses Budget'!$C40</f>
        <v>1000000</v>
      </c>
      <c r="D41" s="270">
        <f t="shared" si="0"/>
        <v>0</v>
      </c>
      <c r="E41" s="268"/>
      <c r="F41" s="267"/>
    </row>
    <row r="42" spans="1:6" s="352" customFormat="1">
      <c r="A42" s="269" t="s">
        <v>146</v>
      </c>
      <c r="B42" s="266">
        <f>'Sources and Uses Budget'!$C41</f>
        <v>125000</v>
      </c>
      <c r="C42" s="266">
        <f>'Sources and Uses Budget'!$C41</f>
        <v>125000</v>
      </c>
      <c r="D42" s="270">
        <f t="shared" si="0"/>
        <v>0</v>
      </c>
      <c r="E42" s="268"/>
      <c r="F42" s="267"/>
    </row>
    <row r="43" spans="1:6" s="352" customFormat="1">
      <c r="A43" s="271" t="s">
        <v>147</v>
      </c>
      <c r="B43" s="270">
        <f>SUM(B41:B42)</f>
        <v>1125000</v>
      </c>
      <c r="C43" s="270">
        <f>SUM(C41:C42)</f>
        <v>1125000</v>
      </c>
      <c r="D43" s="270">
        <f t="shared" si="0"/>
        <v>0</v>
      </c>
      <c r="E43" s="268"/>
      <c r="F43" s="267"/>
    </row>
    <row r="44" spans="1:6" s="352" customFormat="1">
      <c r="A44" s="271" t="s">
        <v>148</v>
      </c>
      <c r="B44" s="266">
        <f>'Sources and Uses Budget'!$C43</f>
        <v>365000</v>
      </c>
      <c r="C44" s="266">
        <f>'Sources and Uses Budget'!$C43</f>
        <v>365000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9372987</v>
      </c>
      <c r="C46" s="266">
        <f>'Sources and Uses Budget'!$C45</f>
        <v>9372987</v>
      </c>
      <c r="D46" s="270">
        <f t="shared" si="0"/>
        <v>0</v>
      </c>
      <c r="E46" s="268"/>
      <c r="F46" s="267"/>
    </row>
    <row r="47" spans="1:6" s="352" customFormat="1">
      <c r="A47" s="145" t="s">
        <v>151</v>
      </c>
      <c r="B47" s="266">
        <f>'Sources and Uses Budget'!$C46</f>
        <v>832893</v>
      </c>
      <c r="C47" s="266">
        <f>'Sources and Uses Budget'!$C46</f>
        <v>832893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2587200.0000000005</v>
      </c>
      <c r="C49" s="266">
        <f>'Sources and Uses Budget'!$C48</f>
        <v>2587200.0000000005</v>
      </c>
      <c r="D49" s="270">
        <f t="shared" si="0"/>
        <v>0</v>
      </c>
      <c r="E49" s="268"/>
      <c r="F49" s="267"/>
    </row>
    <row r="50" spans="1:6" s="352" customFormat="1">
      <c r="A50" s="145" t="s">
        <v>57</v>
      </c>
      <c r="B50" s="266">
        <f>'Sources and Uses Budget'!$C49</f>
        <v>608380</v>
      </c>
      <c r="C50" s="266">
        <f>'Sources and Uses Budget'!$C49</f>
        <v>608380</v>
      </c>
      <c r="D50" s="270">
        <f t="shared" si="0"/>
        <v>0</v>
      </c>
      <c r="E50" s="268"/>
      <c r="F50" s="267"/>
    </row>
    <row r="51" spans="1:6" s="352" customFormat="1">
      <c r="A51" s="145" t="s">
        <v>156</v>
      </c>
      <c r="B51" s="266">
        <f>'Sources and Uses Budget'!$C50</f>
        <v>176878</v>
      </c>
      <c r="C51" s="266">
        <f>'Sources and Uses Budget'!$C50</f>
        <v>176878</v>
      </c>
      <c r="D51" s="270">
        <f t="shared" si="0"/>
        <v>0</v>
      </c>
      <c r="E51" s="268"/>
      <c r="F51" s="267"/>
    </row>
    <row r="52" spans="1:6" s="352" customFormat="1">
      <c r="A52" s="283" t="s">
        <v>154</v>
      </c>
      <c r="B52" s="266">
        <f>'Sources and Uses Budget'!$C51</f>
        <v>82140</v>
      </c>
      <c r="C52" s="266">
        <f>'Sources and Uses Budget'!$C51</f>
        <v>82140</v>
      </c>
      <c r="D52" s="270">
        <f t="shared" si="0"/>
        <v>0</v>
      </c>
      <c r="E52" s="268"/>
      <c r="F52" s="267"/>
    </row>
    <row r="53" spans="1:6" s="352" customFormat="1">
      <c r="A53" s="145" t="s">
        <v>155</v>
      </c>
      <c r="B53" s="266">
        <f>'Sources and Uses Budget'!$C52</f>
        <v>660000</v>
      </c>
      <c r="C53" s="266">
        <f>'Sources and Uses Budget'!$C52</f>
        <v>660000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14320478</v>
      </c>
      <c r="C55" s="273">
        <f>SUM(C46:C54)</f>
        <v>14320478</v>
      </c>
      <c r="D55" s="270">
        <f t="shared" si="0"/>
        <v>0</v>
      </c>
      <c r="E55" s="268"/>
      <c r="F55" s="267"/>
    </row>
    <row r="56" spans="1:6" s="352" customFormat="1">
      <c r="A56" s="264" t="s">
        <v>416</v>
      </c>
      <c r="B56" s="264"/>
      <c r="C56" s="264"/>
      <c r="D56" s="264"/>
      <c r="E56" s="282"/>
      <c r="F56" s="264"/>
    </row>
    <row r="57" spans="1:6" s="352" customFormat="1">
      <c r="A57" s="269" t="s">
        <v>158</v>
      </c>
      <c r="B57" s="266">
        <f>'Sources and Uses Budget'!$C56</f>
        <v>387513</v>
      </c>
      <c r="C57" s="266">
        <f>'Sources and Uses Budget'!$C56</f>
        <v>387513</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397513</v>
      </c>
      <c r="C63" s="270">
        <f>SUM(C57:C62)</f>
        <v>397513</v>
      </c>
      <c r="D63" s="270">
        <f t="shared" si="0"/>
        <v>0</v>
      </c>
      <c r="E63" s="268"/>
      <c r="F63" s="267"/>
    </row>
    <row r="64" spans="1:6" s="352" customFormat="1">
      <c r="A64" s="274" t="s">
        <v>301</v>
      </c>
      <c r="B64" s="270">
        <f>SUM(B9+B12+B14+B15+B17+B26+B28+B39+B43+B44+B55+B63)</f>
        <v>89786391</v>
      </c>
      <c r="C64" s="270">
        <f>SUM(C9+C12+C14+C15+C17+C26+C28+C39+C43+C44+C55+C63)</f>
        <v>89786391</v>
      </c>
      <c r="D64" s="270">
        <f t="shared" si="0"/>
        <v>0</v>
      </c>
      <c r="E64" s="268"/>
      <c r="F64" s="267"/>
    </row>
    <row r="65" spans="1:6" s="352" customFormat="1" ht="24">
      <c r="A65" s="141" t="s">
        <v>1631</v>
      </c>
      <c r="B65" s="264"/>
      <c r="C65" s="264"/>
      <c r="D65" s="264"/>
      <c r="E65" s="282"/>
      <c r="F65" s="264"/>
    </row>
    <row r="66" spans="1:6" s="352" customFormat="1">
      <c r="A66" s="145" t="s">
        <v>170</v>
      </c>
      <c r="B66" s="266">
        <f>'Sources and Uses Budget'!$C65</f>
        <v>15000</v>
      </c>
      <c r="C66" s="266">
        <f>'Sources and Uses Budget'!$C65</f>
        <v>15000</v>
      </c>
      <c r="D66" s="270">
        <f t="shared" si="0"/>
        <v>0</v>
      </c>
      <c r="E66" s="268"/>
      <c r="F66" s="267"/>
    </row>
    <row r="67" spans="1:6" s="352" customFormat="1" ht="24">
      <c r="A67" s="283" t="s">
        <v>1628</v>
      </c>
      <c r="B67" s="266">
        <f>'Sources and Uses Budget'!$C66</f>
        <v>0</v>
      </c>
      <c r="C67" s="266">
        <f>'Sources and Uses Budget'!$C66</f>
        <v>0</v>
      </c>
      <c r="D67" s="270"/>
      <c r="E67" s="268"/>
      <c r="F67" s="267"/>
    </row>
    <row r="68" spans="1:6" s="352" customFormat="1" ht="24">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ht="24">
      <c r="A70" s="155" t="str">
        <f>'Sources and Uses Budget'!A69</f>
        <v>Other: Lender Third Party / Financing / Legal Fees</v>
      </c>
      <c r="B70" s="266">
        <f>'Sources and Uses Budget'!$C69</f>
        <v>527100</v>
      </c>
      <c r="C70" s="266">
        <f>'Sources and Uses Budget'!$C69</f>
        <v>527100</v>
      </c>
      <c r="D70" s="270">
        <f t="shared" si="0"/>
        <v>0</v>
      </c>
      <c r="E70" s="268"/>
      <c r="F70" s="267"/>
    </row>
    <row r="71" spans="1:6" s="352" customFormat="1">
      <c r="A71" s="149" t="s">
        <v>1632</v>
      </c>
      <c r="B71" s="270">
        <f>SUM(B66:B70)</f>
        <v>542100</v>
      </c>
      <c r="C71" s="270">
        <f>SUM(C66:C70)</f>
        <v>542100</v>
      </c>
      <c r="D71" s="270">
        <f t="shared" si="0"/>
        <v>0</v>
      </c>
      <c r="E71" s="268"/>
      <c r="F71" s="267"/>
    </row>
    <row r="72" spans="1:6" s="352" customFormat="1">
      <c r="A72" s="264" t="s">
        <v>600</v>
      </c>
      <c r="B72" s="264"/>
      <c r="C72" s="264"/>
      <c r="D72" s="264"/>
      <c r="E72" s="282"/>
      <c r="F72" s="264"/>
    </row>
    <row r="73" spans="1:6" s="352" customFormat="1">
      <c r="A73" s="269" t="s">
        <v>601</v>
      </c>
      <c r="B73" s="266">
        <f>'Sources and Uses Budget'!$C72</f>
        <v>0</v>
      </c>
      <c r="C73" s="266">
        <f>'Sources and Uses Budget'!$C72</f>
        <v>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603</v>
      </c>
      <c r="B76" s="266">
        <f>'Sources and Uses Budget'!$C75</f>
        <v>1172117</v>
      </c>
      <c r="C76" s="266">
        <f>'Sources and Uses Budget'!$C75</f>
        <v>1172117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604</v>
      </c>
      <c r="B78" s="270">
        <f>SUM(B73:B77)</f>
        <v>1172117</v>
      </c>
      <c r="C78" s="270">
        <f>SUM(C73:C77)</f>
        <v>1172117</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3300000</v>
      </c>
      <c r="C80" s="266">
        <f>'Sources and Uses Budget'!$C79</f>
        <v>3300000</v>
      </c>
      <c r="D80" s="270">
        <f t="shared" si="1"/>
        <v>0</v>
      </c>
      <c r="E80" s="268"/>
      <c r="F80" s="267"/>
    </row>
    <row r="81" spans="1:6" s="352" customFormat="1">
      <c r="A81" s="510" t="s">
        <v>58</v>
      </c>
      <c r="B81" s="266">
        <f>'Sources and Uses Budget'!$C80</f>
        <v>300000</v>
      </c>
      <c r="C81" s="266">
        <f>'Sources and Uses Budget'!$C80</f>
        <v>300000</v>
      </c>
      <c r="D81" s="270">
        <f>C81-B81</f>
        <v>0</v>
      </c>
      <c r="E81" s="268"/>
      <c r="F81" s="267"/>
    </row>
    <row r="82" spans="1:6" s="352" customFormat="1">
      <c r="A82" s="271" t="s">
        <v>1207</v>
      </c>
      <c r="B82" s="270">
        <f>SUM(B80:B81)</f>
        <v>3600000</v>
      </c>
      <c r="C82" s="270">
        <f>SUM(C80:C81)</f>
        <v>3600000</v>
      </c>
      <c r="D82" s="270">
        <f t="shared" si="1"/>
        <v>0</v>
      </c>
      <c r="E82" s="268"/>
      <c r="F82" s="267"/>
    </row>
    <row r="83" spans="1:6" s="352" customFormat="1">
      <c r="A83" s="264" t="s">
        <v>763</v>
      </c>
      <c r="B83" s="264"/>
      <c r="C83" s="264"/>
      <c r="D83" s="264"/>
      <c r="E83" s="282"/>
      <c r="F83" s="264"/>
    </row>
    <row r="84" spans="1:6" s="352" customFormat="1" ht="13.7" customHeight="1">
      <c r="A84" s="269" t="s">
        <v>764</v>
      </c>
      <c r="B84" s="266">
        <f>'Sources and Uses Budget'!$C83</f>
        <v>283788</v>
      </c>
      <c r="C84" s="266">
        <f>'Sources and Uses Budget'!$C83</f>
        <v>283788</v>
      </c>
      <c r="D84" s="270">
        <f t="shared" si="1"/>
        <v>0</v>
      </c>
      <c r="E84" s="268"/>
      <c r="F84" s="267"/>
    </row>
    <row r="85" spans="1:6" s="352" customFormat="1">
      <c r="A85" s="269" t="s">
        <v>765</v>
      </c>
      <c r="B85" s="266">
        <f>'Sources and Uses Budget'!$C84</f>
        <v>40000</v>
      </c>
      <c r="C85" s="266">
        <f>'Sources and Uses Budget'!$C84</f>
        <v>40000</v>
      </c>
      <c r="D85" s="270">
        <f t="shared" si="1"/>
        <v>0</v>
      </c>
      <c r="E85" s="268"/>
      <c r="F85" s="267"/>
    </row>
    <row r="86" spans="1:6" s="352" customFormat="1">
      <c r="A86" s="269" t="s">
        <v>766</v>
      </c>
      <c r="B86" s="266">
        <f>'Sources and Uses Budget'!$C85</f>
        <v>6685570</v>
      </c>
      <c r="C86" s="266">
        <f>'Sources and Uses Budget'!$C85</f>
        <v>6685570</v>
      </c>
      <c r="D86" s="270">
        <f t="shared" si="1"/>
        <v>0</v>
      </c>
      <c r="E86" s="268"/>
      <c r="F86" s="267"/>
    </row>
    <row r="87" spans="1:6" s="352" customFormat="1">
      <c r="A87" s="269" t="s">
        <v>767</v>
      </c>
      <c r="B87" s="266">
        <f>'Sources and Uses Budget'!$C86</f>
        <v>600000</v>
      </c>
      <c r="C87" s="266">
        <f>'Sources and Uses Budget'!$C86</f>
        <v>600000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138826</v>
      </c>
      <c r="C89" s="266">
        <f>'Sources and Uses Budget'!$C88</f>
        <v>138826</v>
      </c>
      <c r="D89" s="270">
        <f t="shared" si="1"/>
        <v>0</v>
      </c>
      <c r="E89" s="268"/>
      <c r="F89" s="267"/>
    </row>
    <row r="90" spans="1:6" s="352" customFormat="1">
      <c r="A90" s="269" t="s">
        <v>770</v>
      </c>
      <c r="B90" s="266">
        <f>'Sources and Uses Budget'!$C89</f>
        <v>360000</v>
      </c>
      <c r="C90" s="266">
        <f>'Sources and Uses Budget'!$C89</f>
        <v>360000</v>
      </c>
      <c r="D90" s="270">
        <f t="shared" si="1"/>
        <v>0</v>
      </c>
      <c r="E90" s="268"/>
      <c r="F90" s="267"/>
    </row>
    <row r="91" spans="1:6" s="352" customFormat="1">
      <c r="A91" s="269" t="s">
        <v>771</v>
      </c>
      <c r="B91" s="266">
        <f>'Sources and Uses Budget'!$C90</f>
        <v>7500</v>
      </c>
      <c r="C91" s="266">
        <f>'Sources and Uses Budget'!$C90</f>
        <v>7500</v>
      </c>
      <c r="D91" s="270">
        <f t="shared" si="1"/>
        <v>0</v>
      </c>
      <c r="E91" s="268"/>
      <c r="F91" s="267"/>
    </row>
    <row r="92" spans="1:6" s="352" customFormat="1">
      <c r="A92" s="269" t="s">
        <v>370</v>
      </c>
      <c r="B92" s="266">
        <f>'Sources and Uses Budget'!$C91</f>
        <v>15000</v>
      </c>
      <c r="C92" s="266">
        <f>'Sources and Uses Budget'!$C91</f>
        <v>15000</v>
      </c>
      <c r="D92" s="270">
        <f t="shared" si="1"/>
        <v>0</v>
      </c>
      <c r="E92" s="268"/>
      <c r="F92" s="267"/>
    </row>
    <row r="93" spans="1:6" s="352" customFormat="1">
      <c r="A93" s="510" t="s">
        <v>1209</v>
      </c>
      <c r="B93" s="266">
        <f>'Sources and Uses Budget'!$C92</f>
        <v>7500</v>
      </c>
      <c r="C93" s="266">
        <f>'Sources and Uses Budget'!$C92</f>
        <v>7500</v>
      </c>
      <c r="D93" s="270">
        <f t="shared" si="1"/>
        <v>0</v>
      </c>
      <c r="E93" s="268"/>
      <c r="F93" s="267"/>
    </row>
    <row r="94" spans="1:6" s="352" customFormat="1">
      <c r="A94" s="272" t="s">
        <v>34</v>
      </c>
      <c r="B94" s="266">
        <f>'Sources and Uses Budget'!$C93</f>
        <v>250000</v>
      </c>
      <c r="C94" s="266">
        <f>'Sources and Uses Budget'!$C93</f>
        <v>250000</v>
      </c>
      <c r="D94" s="270">
        <f t="shared" si="1"/>
        <v>0</v>
      </c>
      <c r="E94" s="268"/>
      <c r="F94" s="267"/>
    </row>
    <row r="95" spans="1:6" s="352" customFormat="1">
      <c r="A95" s="272" t="s">
        <v>34</v>
      </c>
      <c r="B95" s="266">
        <f>'Sources and Uses Budget'!$C94</f>
        <v>320000</v>
      </c>
      <c r="C95" s="266">
        <f>'Sources and Uses Budget'!$C94</f>
        <v>320000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8708184</v>
      </c>
      <c r="C97" s="270">
        <f>SUM(C84:C96)</f>
        <v>8708184</v>
      </c>
      <c r="D97" s="270">
        <f t="shared" si="1"/>
        <v>0</v>
      </c>
      <c r="E97" s="268"/>
      <c r="F97" s="267"/>
    </row>
    <row r="98" spans="1:6" s="352" customFormat="1">
      <c r="A98" s="271" t="s">
        <v>773</v>
      </c>
      <c r="B98" s="270">
        <f>SUM(B64+B71+B78+B82+B97)</f>
        <v>103808792</v>
      </c>
      <c r="C98" s="270">
        <f>SUM(C64+C71+C78+C82+C97)</f>
        <v>103808792</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12540307</v>
      </c>
      <c r="C100" s="266">
        <f>'Sources and Uses Budget'!$C99</f>
        <v>12540307</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1076976</v>
      </c>
      <c r="C103" s="266">
        <f>'Sources and Uses Budget'!$C102</f>
        <v>1076976</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13617283</v>
      </c>
      <c r="C105" s="270">
        <f>SUM(C100:C104)</f>
        <v>13617283</v>
      </c>
      <c r="D105" s="270">
        <f t="shared" si="1"/>
        <v>0</v>
      </c>
      <c r="E105" s="268"/>
      <c r="F105" s="267"/>
    </row>
    <row r="106" spans="1:6" s="352" customFormat="1">
      <c r="A106" s="271" t="s">
        <v>778</v>
      </c>
      <c r="B106" s="273">
        <f>SUM(B98+B105)</f>
        <v>117426075</v>
      </c>
      <c r="C106" s="273">
        <f>SUM(C98+C105)</f>
        <v>117426075</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810" t="s">
        <v>1840</v>
      </c>
      <c r="B1" s="1811"/>
      <c r="C1" s="1811"/>
      <c r="D1" s="1811"/>
      <c r="E1" s="1811"/>
      <c r="F1" s="1811"/>
      <c r="G1" s="1811"/>
      <c r="H1" s="1811"/>
      <c r="I1" s="1811"/>
      <c r="J1" s="1811"/>
    </row>
    <row r="2" spans="1:10" ht="15">
      <c r="A2" s="1814" t="s">
        <v>1266</v>
      </c>
      <c r="B2" s="1815"/>
      <c r="C2" s="1815"/>
      <c r="D2" s="1815"/>
      <c r="E2" s="1815"/>
      <c r="F2" s="1815"/>
      <c r="G2" s="1815"/>
      <c r="H2" s="1815"/>
      <c r="I2" s="1815"/>
      <c r="J2" s="1815"/>
    </row>
    <row r="3" spans="1:10" ht="12.75"/>
    <row r="4" spans="1:10" ht="12.75" customHeight="1">
      <c r="A4" s="1812" t="s">
        <v>2003</v>
      </c>
      <c r="B4" s="1812"/>
      <c r="C4" s="1812"/>
      <c r="D4" s="1812"/>
      <c r="E4" s="1812"/>
      <c r="F4" s="1812"/>
      <c r="G4" s="1812"/>
      <c r="H4" s="1812"/>
      <c r="I4" s="1812"/>
      <c r="J4" s="1812"/>
    </row>
    <row r="5" spans="1:10" ht="12.75">
      <c r="A5" s="1812"/>
      <c r="B5" s="1812"/>
      <c r="C5" s="1812"/>
      <c r="D5" s="1812"/>
      <c r="E5" s="1812"/>
      <c r="F5" s="1812"/>
      <c r="G5" s="1812"/>
      <c r="H5" s="1812"/>
      <c r="I5" s="1812"/>
      <c r="J5" s="1812"/>
    </row>
    <row r="6" spans="1:10" ht="30" customHeight="1">
      <c r="A6" s="1812"/>
      <c r="B6" s="1812"/>
      <c r="C6" s="1812"/>
      <c r="D6" s="1812"/>
      <c r="E6" s="1812"/>
      <c r="F6" s="1812"/>
      <c r="G6" s="1812"/>
      <c r="H6" s="1812"/>
      <c r="I6" s="1812"/>
      <c r="J6" s="1812"/>
    </row>
    <row r="7" spans="1:10" ht="12.75">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75"/>
    <row r="10" spans="1:10" ht="12.75" customHeight="1">
      <c r="A10" s="1816" t="s">
        <v>1845</v>
      </c>
      <c r="B10" s="1816"/>
      <c r="C10" s="1816"/>
      <c r="D10" s="1816"/>
      <c r="E10" s="1816"/>
      <c r="F10" s="1816"/>
      <c r="G10" s="1816"/>
      <c r="H10" s="1816"/>
      <c r="I10" s="1816"/>
      <c r="J10" s="1816"/>
    </row>
    <row r="11" spans="1:10" ht="12.75">
      <c r="A11" s="1816"/>
      <c r="B11" s="1816"/>
      <c r="C11" s="1816"/>
      <c r="D11" s="1816"/>
      <c r="E11" s="1816"/>
      <c r="F11" s="1816"/>
      <c r="G11" s="1816"/>
      <c r="H11" s="1816"/>
      <c r="I11" s="1816"/>
      <c r="J11" s="1816"/>
    </row>
    <row r="12" spans="1:10" ht="12.75">
      <c r="A12" s="1816"/>
      <c r="B12" s="1816"/>
      <c r="C12" s="1816"/>
      <c r="D12" s="1816"/>
      <c r="E12" s="1816"/>
      <c r="F12" s="1816"/>
      <c r="G12" s="1816"/>
      <c r="H12" s="1816"/>
      <c r="I12" s="1816"/>
      <c r="J12" s="1816"/>
    </row>
    <row r="13" spans="1:10" ht="12.75">
      <c r="A13" s="1816"/>
      <c r="B13" s="1816"/>
      <c r="C13" s="1816"/>
      <c r="D13" s="1816"/>
      <c r="E13" s="1816"/>
      <c r="F13" s="1816"/>
      <c r="G13" s="1816"/>
      <c r="H13" s="1816"/>
      <c r="I13" s="1816"/>
      <c r="J13" s="1816"/>
    </row>
    <row r="14" spans="1:10" ht="12.75">
      <c r="A14" s="1816"/>
      <c r="B14" s="1816"/>
      <c r="C14" s="1816"/>
      <c r="D14" s="1816"/>
      <c r="E14" s="1816"/>
      <c r="F14" s="1816"/>
      <c r="G14" s="1816"/>
      <c r="H14" s="1816"/>
      <c r="I14" s="1816"/>
      <c r="J14" s="1816"/>
    </row>
    <row r="15" spans="1:10" ht="12.75">
      <c r="A15" s="1816"/>
      <c r="B15" s="1816"/>
      <c r="C15" s="1816"/>
      <c r="D15" s="1816"/>
      <c r="E15" s="1816"/>
      <c r="F15" s="1816"/>
      <c r="G15" s="1816"/>
      <c r="H15" s="1816"/>
      <c r="I15" s="1816"/>
      <c r="J15" s="1816"/>
    </row>
    <row r="16" spans="1:10" ht="12.75">
      <c r="A16" s="524"/>
      <c r="B16" s="524"/>
      <c r="C16" s="524"/>
      <c r="D16" s="524"/>
      <c r="E16" s="524"/>
      <c r="F16" s="524"/>
      <c r="G16" s="524"/>
      <c r="H16" s="524"/>
      <c r="I16" s="524"/>
      <c r="J16" s="524"/>
    </row>
    <row r="17" spans="1:10" ht="12.75">
      <c r="A17" s="476" t="s">
        <v>1844</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815" t="s">
        <v>1187</v>
      </c>
      <c r="B19" s="1815"/>
      <c r="C19" s="1815"/>
      <c r="D19" s="1815"/>
      <c r="E19" s="181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2" t="s">
        <v>1188</v>
      </c>
      <c r="B76" s="1812"/>
      <c r="C76" s="1812"/>
      <c r="D76" s="1812"/>
      <c r="E76" s="1812"/>
      <c r="F76" s="1812"/>
      <c r="G76" s="1812"/>
      <c r="H76" s="1812"/>
      <c r="I76" s="1812"/>
      <c r="J76" s="1812"/>
    </row>
    <row r="77" spans="1:10" ht="12.75">
      <c r="A77" s="1812"/>
      <c r="B77" s="1812"/>
      <c r="C77" s="1812"/>
      <c r="D77" s="1812"/>
      <c r="E77" s="1812"/>
      <c r="F77" s="1812"/>
      <c r="G77" s="1812"/>
      <c r="H77" s="1812"/>
      <c r="I77" s="1812"/>
      <c r="J77" s="1812"/>
    </row>
    <row r="78" spans="1:10" ht="12.75">
      <c r="A78" s="1812"/>
      <c r="B78" s="1812"/>
      <c r="C78" s="1812"/>
      <c r="D78" s="1812"/>
      <c r="E78" s="1812"/>
      <c r="F78" s="1812"/>
      <c r="G78" s="1812"/>
      <c r="H78" s="1812"/>
      <c r="I78" s="1812"/>
      <c r="J78" s="1812"/>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813" t="s">
        <v>1841</v>
      </c>
      <c r="B89" s="1813"/>
      <c r="C89" s="1813"/>
      <c r="D89" s="1813"/>
      <c r="E89" s="1813"/>
      <c r="F89" s="1813"/>
      <c r="G89" s="1813"/>
      <c r="H89" s="1813"/>
      <c r="I89" s="1813"/>
    </row>
    <row r="90" spans="1:9" ht="12.75">
      <c r="A90" s="1804" t="s">
        <v>2001</v>
      </c>
      <c r="B90" s="1804"/>
      <c r="C90" s="1804"/>
      <c r="D90" s="1804"/>
      <c r="E90" s="1804"/>
    </row>
    <row r="91" spans="1:9" ht="12.75">
      <c r="A91" s="1804" t="s">
        <v>2002</v>
      </c>
      <c r="B91" s="1804"/>
      <c r="C91" s="1804"/>
      <c r="D91" s="1804"/>
      <c r="E91" s="1804"/>
    </row>
    <row r="92" spans="1:9" ht="12.75">
      <c r="A92" s="1804" t="s">
        <v>1842</v>
      </c>
      <c r="B92" s="1804"/>
      <c r="C92" s="1804"/>
      <c r="D92" s="1804"/>
      <c r="E92" s="1804"/>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30" zoomScaleNormal="130" workbookViewId="0"/>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18" t="s">
        <v>2598</v>
      </c>
      <c r="B2" s="1818"/>
      <c r="C2" s="1818"/>
      <c r="D2" s="1818"/>
      <c r="E2" s="1818"/>
      <c r="F2" s="1818"/>
      <c r="G2" s="1818"/>
      <c r="H2" s="1818"/>
      <c r="I2" s="1818"/>
    </row>
    <row r="3" spans="1:13">
      <c r="A3" s="1819" t="s">
        <v>2170</v>
      </c>
      <c r="B3" s="1819"/>
      <c r="C3" s="1819"/>
      <c r="D3" s="1819"/>
      <c r="E3" s="1819"/>
      <c r="F3" s="1819"/>
      <c r="G3" s="1819"/>
      <c r="H3" s="1819"/>
      <c r="I3" s="1819"/>
    </row>
    <row r="4" spans="1:13">
      <c r="A4" s="1819"/>
      <c r="B4" s="1819"/>
      <c r="C4" s="1815"/>
      <c r="D4" s="1815"/>
      <c r="E4" s="1815"/>
      <c r="F4" s="1815"/>
      <c r="G4" s="1815"/>
    </row>
    <row r="5" spans="1:13">
      <c r="A5" s="1819"/>
      <c r="B5" s="1819"/>
      <c r="C5" s="1815"/>
      <c r="D5" s="1815"/>
      <c r="E5" s="1815"/>
      <c r="F5" s="1815"/>
      <c r="G5" s="1815"/>
    </row>
    <row r="6" spans="1:13" ht="12.75" customHeight="1">
      <c r="A6" s="1841" t="s">
        <v>2169</v>
      </c>
      <c r="B6" s="1841"/>
      <c r="C6" s="1841"/>
      <c r="D6" s="1841"/>
      <c r="E6" s="1841"/>
      <c r="F6" s="1841"/>
      <c r="G6" s="1841"/>
      <c r="I6" s="490"/>
    </row>
    <row r="7" spans="1:13">
      <c r="A7" s="1841"/>
      <c r="B7" s="1841"/>
      <c r="C7" s="1841"/>
      <c r="D7" s="1841"/>
      <c r="E7" s="1841"/>
      <c r="F7" s="1841"/>
      <c r="G7" s="1841"/>
      <c r="I7" s="490"/>
    </row>
    <row r="8" spans="1:13">
      <c r="A8" s="481"/>
      <c r="B8" s="481"/>
      <c r="C8" s="482"/>
      <c r="D8" s="482"/>
      <c r="E8" s="482"/>
      <c r="F8" s="482"/>
    </row>
    <row r="9" spans="1:13">
      <c r="A9" s="1823" t="s">
        <v>1099</v>
      </c>
      <c r="B9" s="1823"/>
      <c r="C9" s="1823"/>
      <c r="D9" s="1823"/>
      <c r="E9" s="1823"/>
      <c r="F9" s="1823"/>
      <c r="G9" s="1823"/>
      <c r="H9" s="1023"/>
      <c r="I9" s="1024"/>
    </row>
    <row r="10" spans="1:13">
      <c r="A10" s="482"/>
      <c r="B10" s="482"/>
      <c r="E10" s="404"/>
    </row>
    <row r="11" spans="1:13" ht="13.7" customHeight="1">
      <c r="C11" s="482"/>
      <c r="D11" s="1840" t="s">
        <v>1098</v>
      </c>
      <c r="E11" s="1840"/>
      <c r="F11" s="1840"/>
    </row>
    <row r="12" spans="1:13">
      <c r="C12" s="482"/>
      <c r="D12" s="1840"/>
      <c r="E12" s="1840"/>
      <c r="F12" s="1840"/>
    </row>
    <row r="13" spans="1:13">
      <c r="A13" s="483"/>
      <c r="B13" s="483"/>
      <c r="C13" s="483"/>
      <c r="D13" s="1821" t="s">
        <v>1088</v>
      </c>
      <c r="E13" s="1821"/>
      <c r="F13" s="1821"/>
      <c r="M13" s="96"/>
    </row>
    <row r="14" spans="1:13">
      <c r="A14" s="483"/>
      <c r="B14" s="483"/>
      <c r="C14" s="483"/>
      <c r="D14" s="476"/>
      <c r="L14" s="312"/>
    </row>
    <row r="15" spans="1:13" ht="14.25">
      <c r="A15" s="484"/>
      <c r="B15" s="485" t="s">
        <v>2760</v>
      </c>
      <c r="C15" s="483"/>
      <c r="D15" s="1820" t="s">
        <v>1892</v>
      </c>
      <c r="E15" s="1820"/>
      <c r="F15" s="1820"/>
      <c r="I15" s="490"/>
    </row>
    <row r="16" spans="1:13">
      <c r="A16" s="483"/>
      <c r="B16" s="483"/>
      <c r="C16" s="483"/>
      <c r="D16" s="1820"/>
      <c r="E16" s="1820"/>
      <c r="F16" s="1820"/>
      <c r="I16" s="490"/>
    </row>
    <row r="17" spans="1:9">
      <c r="A17" s="483"/>
      <c r="B17" s="483"/>
      <c r="C17" s="483"/>
      <c r="D17" s="1820"/>
      <c r="E17" s="1820"/>
      <c r="F17" s="1820"/>
      <c r="I17" s="490"/>
    </row>
    <row r="18" spans="1:9">
      <c r="A18" s="483"/>
      <c r="B18" s="483"/>
      <c r="C18" s="483"/>
      <c r="D18" s="445"/>
      <c r="E18" s="312" t="s">
        <v>1890</v>
      </c>
      <c r="F18" s="445"/>
      <c r="I18" s="490"/>
    </row>
    <row r="19" spans="1:9">
      <c r="A19" s="483"/>
      <c r="B19" s="483"/>
      <c r="C19" s="483"/>
      <c r="I19" s="490"/>
    </row>
    <row r="20" spans="1:9" ht="14.25">
      <c r="A20" s="484"/>
      <c r="B20" s="485" t="s">
        <v>2760</v>
      </c>
      <c r="D20" s="1820" t="s">
        <v>1893</v>
      </c>
      <c r="E20" s="1820"/>
      <c r="F20" s="1820"/>
      <c r="I20" s="490"/>
    </row>
    <row r="21" spans="1:9" ht="14.25">
      <c r="A21" s="484"/>
      <c r="D21" s="1820"/>
      <c r="E21" s="1820"/>
      <c r="F21" s="1820"/>
      <c r="I21" s="490"/>
    </row>
    <row r="22" spans="1:9" ht="14.25">
      <c r="A22" s="484"/>
      <c r="D22" s="392"/>
      <c r="E22" s="96" t="s">
        <v>1889</v>
      </c>
      <c r="F22" s="392"/>
      <c r="I22" s="490"/>
    </row>
    <row r="23" spans="1:9" ht="14.25">
      <c r="A23" s="484"/>
      <c r="B23" s="484"/>
      <c r="D23" s="446"/>
      <c r="I23" s="490"/>
    </row>
    <row r="24" spans="1:9" ht="14.25">
      <c r="A24" s="484"/>
      <c r="B24" s="485" t="s">
        <v>2761</v>
      </c>
      <c r="D24" s="1820" t="s">
        <v>1089</v>
      </c>
      <c r="E24" s="1820"/>
      <c r="F24" s="1820"/>
      <c r="I24" s="490"/>
    </row>
    <row r="25" spans="1:9" ht="14.25">
      <c r="A25" s="484"/>
      <c r="B25" s="484"/>
      <c r="D25" s="1820"/>
      <c r="E25" s="1820"/>
      <c r="F25" s="1820"/>
      <c r="I25" s="490"/>
    </row>
    <row r="26" spans="1:9">
      <c r="I26" s="490"/>
    </row>
    <row r="27" spans="1:9" ht="14.25">
      <c r="A27" s="484"/>
      <c r="B27" s="485" t="s">
        <v>2760</v>
      </c>
      <c r="D27" s="1820" t="s">
        <v>2004</v>
      </c>
      <c r="E27" s="1820"/>
      <c r="F27" s="1820"/>
      <c r="I27" s="490"/>
    </row>
    <row r="28" spans="1:9">
      <c r="D28" s="1820"/>
      <c r="E28" s="1820"/>
      <c r="F28" s="1820"/>
      <c r="I28" s="490"/>
    </row>
    <row r="29" spans="1:9">
      <c r="D29" s="1820"/>
      <c r="E29" s="1820"/>
      <c r="F29" s="1820"/>
      <c r="I29" s="490"/>
    </row>
    <row r="30" spans="1:9">
      <c r="D30" s="1820"/>
      <c r="E30" s="1820"/>
      <c r="F30" s="1820"/>
      <c r="I30" s="490"/>
    </row>
    <row r="31" spans="1:9">
      <c r="D31" s="1820"/>
      <c r="E31" s="1820"/>
      <c r="F31" s="1820"/>
      <c r="I31" s="490"/>
    </row>
    <row r="32" spans="1:9">
      <c r="D32" s="447"/>
      <c r="I32" s="490"/>
    </row>
    <row r="33" spans="1:9">
      <c r="B33" s="485" t="s">
        <v>2761</v>
      </c>
      <c r="D33" s="1820" t="s">
        <v>2005</v>
      </c>
      <c r="E33" s="1820"/>
      <c r="F33" s="1820"/>
      <c r="I33" s="490"/>
    </row>
    <row r="34" spans="1:9">
      <c r="D34" s="1820"/>
      <c r="E34" s="1820"/>
      <c r="F34" s="1820"/>
      <c r="I34" s="490"/>
    </row>
    <row r="35" spans="1:9" ht="14.25">
      <c r="A35" s="484"/>
      <c r="B35" s="484"/>
      <c r="D35" s="447"/>
      <c r="I35" s="490"/>
    </row>
    <row r="36" spans="1:9" ht="14.45" customHeight="1">
      <c r="A36" s="484"/>
      <c r="B36" s="485" t="s">
        <v>2761</v>
      </c>
      <c r="D36" s="1820" t="s">
        <v>1212</v>
      </c>
      <c r="E36" s="1820"/>
      <c r="F36" s="1820"/>
      <c r="I36" s="490"/>
    </row>
    <row r="37" spans="1:9" ht="14.25">
      <c r="A37" s="484"/>
      <c r="B37" s="484"/>
      <c r="D37" s="1820"/>
      <c r="E37" s="1820"/>
      <c r="F37" s="1820"/>
      <c r="I37" s="490"/>
    </row>
    <row r="38" spans="1:9" ht="14.25">
      <c r="A38" s="484"/>
      <c r="B38" s="484"/>
      <c r="D38" s="1820"/>
      <c r="E38" s="1820"/>
      <c r="F38" s="1820"/>
      <c r="I38" s="490"/>
    </row>
    <row r="39" spans="1:9" ht="14.25">
      <c r="A39" s="484"/>
      <c r="B39" s="484"/>
      <c r="D39" s="1820"/>
      <c r="E39" s="1820"/>
      <c r="F39" s="1820"/>
      <c r="I39" s="490"/>
    </row>
    <row r="40" spans="1:9" ht="14.25">
      <c r="A40" s="484"/>
      <c r="B40" s="484"/>
      <c r="I40" s="490"/>
    </row>
    <row r="41" spans="1:9" ht="14.25">
      <c r="A41" s="484"/>
      <c r="B41" s="485" t="s">
        <v>2761</v>
      </c>
      <c r="D41" s="1820" t="s">
        <v>1090</v>
      </c>
      <c r="E41" s="1820"/>
      <c r="F41" s="1820"/>
      <c r="I41" s="490"/>
    </row>
    <row r="42" spans="1:9" ht="14.25">
      <c r="A42" s="484"/>
      <c r="B42" s="484"/>
      <c r="D42" s="1820"/>
      <c r="E42" s="1820"/>
      <c r="F42" s="1820"/>
      <c r="I42" s="490"/>
    </row>
    <row r="43" spans="1:9" ht="14.25">
      <c r="A43" s="484"/>
      <c r="B43" s="484"/>
      <c r="D43" s="1820"/>
      <c r="E43" s="1820"/>
      <c r="F43" s="1820"/>
      <c r="I43" s="490"/>
    </row>
    <row r="44" spans="1:9" ht="14.25">
      <c r="A44" s="484"/>
      <c r="B44" s="484"/>
      <c r="D44" s="1820"/>
      <c r="E44" s="1820"/>
      <c r="F44" s="1820"/>
      <c r="I44" s="490"/>
    </row>
    <row r="45" spans="1:9" ht="14.25">
      <c r="A45" s="484"/>
      <c r="B45" s="484"/>
      <c r="D45" s="1820"/>
      <c r="E45" s="1820"/>
      <c r="F45" s="1820"/>
      <c r="I45" s="490"/>
    </row>
    <row r="46" spans="1:9" ht="14.25">
      <c r="A46" s="484"/>
      <c r="B46" s="484"/>
      <c r="D46" s="445"/>
      <c r="E46" s="445"/>
      <c r="F46" s="445"/>
      <c r="I46" s="490"/>
    </row>
    <row r="47" spans="1:9" ht="14.25">
      <c r="A47" s="484"/>
      <c r="B47" s="485" t="s">
        <v>2761</v>
      </c>
      <c r="D47" s="1820" t="s">
        <v>1091</v>
      </c>
      <c r="E47" s="1820"/>
      <c r="F47" s="1820"/>
      <c r="I47" s="490"/>
    </row>
    <row r="48" spans="1:9" ht="14.25">
      <c r="A48" s="484"/>
      <c r="B48" s="484"/>
      <c r="D48" s="1820"/>
      <c r="E48" s="1820"/>
      <c r="F48" s="1820"/>
      <c r="I48" s="490"/>
    </row>
    <row r="49" spans="1:9" ht="14.25">
      <c r="A49" s="484"/>
      <c r="B49" s="484"/>
      <c r="D49" s="1820"/>
      <c r="E49" s="1820"/>
      <c r="F49" s="1820"/>
      <c r="I49" s="490"/>
    </row>
    <row r="50" spans="1:9" ht="23.25" customHeight="1">
      <c r="A50" s="484"/>
      <c r="B50" s="484"/>
      <c r="D50" s="1820"/>
      <c r="E50" s="1820"/>
      <c r="F50" s="1820"/>
      <c r="I50" s="490"/>
    </row>
    <row r="51" spans="1:9" ht="14.25">
      <c r="A51" s="484"/>
      <c r="B51" s="484"/>
      <c r="D51" s="446"/>
      <c r="I51" s="490"/>
    </row>
    <row r="52" spans="1:9" ht="14.45" customHeight="1">
      <c r="A52" s="484"/>
      <c r="B52" s="485" t="s">
        <v>2761</v>
      </c>
      <c r="D52" s="1820" t="s">
        <v>1092</v>
      </c>
      <c r="E52" s="1820"/>
      <c r="F52" s="1820"/>
      <c r="I52" s="490"/>
    </row>
    <row r="53" spans="1:9" ht="14.25">
      <c r="A53" s="484"/>
      <c r="B53" s="484"/>
      <c r="D53" s="1820"/>
      <c r="E53" s="1820"/>
      <c r="F53" s="1820"/>
      <c r="I53" s="490"/>
    </row>
    <row r="54" spans="1:9" ht="14.25">
      <c r="A54" s="484"/>
      <c r="B54" s="484"/>
      <c r="D54" s="1820"/>
      <c r="E54" s="1820"/>
      <c r="F54" s="1820"/>
      <c r="I54" s="490"/>
    </row>
    <row r="55" spans="1:9" ht="14.25">
      <c r="A55" s="484"/>
      <c r="B55" s="484"/>
      <c r="I55" s="490"/>
    </row>
    <row r="56" spans="1:9" ht="14.25">
      <c r="A56" s="484"/>
      <c r="B56" s="485" t="s">
        <v>2760</v>
      </c>
      <c r="D56" s="1842" t="s">
        <v>1093</v>
      </c>
      <c r="E56" s="1842"/>
      <c r="F56" s="1842"/>
      <c r="I56" s="490"/>
    </row>
    <row r="57" spans="1:9" ht="14.25">
      <c r="A57" s="484"/>
      <c r="B57" s="484"/>
      <c r="D57" s="1842"/>
      <c r="E57" s="1842"/>
      <c r="F57" s="1842"/>
      <c r="I57" s="490"/>
    </row>
    <row r="58" spans="1:9" ht="14.25">
      <c r="A58" s="484"/>
      <c r="B58" s="484"/>
      <c r="D58" s="392" t="s">
        <v>1891</v>
      </c>
      <c r="E58" s="445"/>
      <c r="F58" s="445"/>
      <c r="I58" s="490"/>
    </row>
    <row r="59" spans="1:9" ht="14.25">
      <c r="A59" s="484"/>
      <c r="B59" s="484"/>
      <c r="D59" s="445"/>
      <c r="E59" s="312" t="s">
        <v>1890</v>
      </c>
      <c r="F59" s="445"/>
      <c r="I59" s="490"/>
    </row>
    <row r="60" spans="1:9">
      <c r="D60" s="447"/>
      <c r="I60" s="490"/>
    </row>
    <row r="61" spans="1:9" ht="14.25">
      <c r="A61" s="484"/>
      <c r="B61" s="485" t="s">
        <v>2761</v>
      </c>
      <c r="D61" s="1820" t="s">
        <v>1094</v>
      </c>
      <c r="E61" s="1820"/>
      <c r="F61" s="1820"/>
      <c r="I61" s="490"/>
    </row>
    <row r="62" spans="1:9">
      <c r="D62" s="1820"/>
      <c r="E62" s="1820"/>
      <c r="F62" s="1820"/>
      <c r="I62" s="490"/>
    </row>
    <row r="63" spans="1:9">
      <c r="D63" s="1820"/>
      <c r="E63" s="1820"/>
      <c r="F63" s="1820"/>
      <c r="I63" s="490"/>
    </row>
    <row r="64" spans="1:9">
      <c r="I64" s="490"/>
    </row>
    <row r="65" spans="1:9" ht="14.25">
      <c r="A65" s="484"/>
      <c r="B65" s="485" t="s">
        <v>2761</v>
      </c>
      <c r="D65" s="1820" t="s">
        <v>1095</v>
      </c>
      <c r="E65" s="1820"/>
      <c r="F65" s="1820"/>
      <c r="I65" s="490"/>
    </row>
    <row r="66" spans="1:9">
      <c r="D66" s="1820"/>
      <c r="E66" s="1820"/>
      <c r="F66" s="1820"/>
      <c r="I66" s="490"/>
    </row>
    <row r="67" spans="1:9">
      <c r="I67" s="490"/>
    </row>
    <row r="68" spans="1:9" ht="14.25">
      <c r="A68" s="484"/>
      <c r="B68" s="485" t="s">
        <v>2760</v>
      </c>
      <c r="D68" s="1820" t="s">
        <v>1096</v>
      </c>
      <c r="E68" s="1820"/>
      <c r="F68" s="1820"/>
      <c r="I68" s="490"/>
    </row>
    <row r="69" spans="1:9">
      <c r="D69" s="1820"/>
      <c r="E69" s="1820"/>
      <c r="F69" s="1820"/>
      <c r="I69" s="490"/>
    </row>
    <row r="70" spans="1:9">
      <c r="D70" s="1820"/>
      <c r="E70" s="1820"/>
      <c r="F70" s="1820"/>
      <c r="I70" s="490"/>
    </row>
    <row r="71" spans="1:9">
      <c r="I71" s="490"/>
    </row>
    <row r="72" spans="1:9" ht="14.25">
      <c r="A72" s="484"/>
      <c r="B72" s="485" t="s">
        <v>2760</v>
      </c>
      <c r="D72" s="1820" t="s">
        <v>1097</v>
      </c>
      <c r="E72" s="1820"/>
      <c r="F72" s="1820"/>
      <c r="I72" s="490"/>
    </row>
    <row r="73" spans="1:9">
      <c r="D73" s="1820"/>
      <c r="E73" s="1820"/>
      <c r="F73" s="1820"/>
      <c r="I73" s="490"/>
    </row>
    <row r="74" spans="1:9" ht="14.25">
      <c r="A74" s="484"/>
      <c r="B74" s="484"/>
      <c r="D74" s="446"/>
      <c r="I74" s="490"/>
    </row>
    <row r="75" spans="1:9">
      <c r="A75" s="1823" t="s">
        <v>1042</v>
      </c>
      <c r="B75" s="1823"/>
      <c r="C75" s="1823"/>
      <c r="D75" s="1823"/>
      <c r="E75" s="1823"/>
      <c r="F75" s="1823"/>
      <c r="G75" s="1823"/>
      <c r="H75" s="1023"/>
      <c r="I75" s="1147"/>
    </row>
    <row r="76" spans="1:9">
      <c r="I76" s="490"/>
    </row>
    <row r="77" spans="1:9">
      <c r="C77" s="486"/>
      <c r="D77" s="1822" t="s">
        <v>1100</v>
      </c>
      <c r="E77" s="1822"/>
      <c r="F77" s="1822"/>
      <c r="I77" s="490"/>
    </row>
    <row r="78" spans="1:9">
      <c r="A78" s="446"/>
      <c r="B78" s="446"/>
      <c r="D78" s="1820" t="s">
        <v>1115</v>
      </c>
      <c r="E78" s="1820"/>
      <c r="F78" s="1820"/>
      <c r="I78" s="490"/>
    </row>
    <row r="79" spans="1:9">
      <c r="A79" s="446"/>
      <c r="B79" s="446"/>
      <c r="I79" s="490"/>
    </row>
    <row r="80" spans="1:9" ht="13.7" customHeight="1">
      <c r="A80" s="484"/>
      <c r="B80" s="485" t="s">
        <v>2760</v>
      </c>
      <c r="D80" s="1820" t="s">
        <v>1243</v>
      </c>
      <c r="E80" s="1820"/>
      <c r="F80" s="1820"/>
      <c r="I80" s="490"/>
    </row>
    <row r="81" spans="1:9" ht="14.25">
      <c r="A81" s="484"/>
      <c r="B81" s="484"/>
      <c r="D81" s="1820"/>
      <c r="E81" s="1820"/>
      <c r="F81" s="1820"/>
      <c r="I81" s="490"/>
    </row>
    <row r="82" spans="1:9" ht="14.25">
      <c r="A82" s="484"/>
      <c r="B82" s="484"/>
      <c r="D82" s="1820"/>
      <c r="E82" s="1820"/>
      <c r="F82" s="1820"/>
      <c r="I82" s="490"/>
    </row>
    <row r="83" spans="1:9" ht="14.25">
      <c r="A83" s="484"/>
      <c r="B83" s="484"/>
      <c r="D83" s="1820"/>
      <c r="E83" s="1820"/>
      <c r="F83" s="1820"/>
      <c r="I83" s="490"/>
    </row>
    <row r="84" spans="1:9" ht="14.25">
      <c r="A84" s="484"/>
      <c r="B84" s="484"/>
      <c r="D84" s="1820"/>
      <c r="E84" s="1820"/>
      <c r="F84" s="1820"/>
      <c r="I84" s="490"/>
    </row>
    <row r="85" spans="1:9" ht="14.25">
      <c r="A85" s="484"/>
      <c r="B85" s="484"/>
      <c r="D85" s="1820"/>
      <c r="E85" s="1820"/>
      <c r="F85" s="1820"/>
      <c r="I85" s="490"/>
    </row>
    <row r="86" spans="1:9" ht="14.25">
      <c r="A86" s="484"/>
      <c r="B86" s="484"/>
      <c r="D86" s="1820"/>
      <c r="E86" s="1820"/>
      <c r="F86" s="1820"/>
      <c r="I86" s="490"/>
    </row>
    <row r="87" spans="1:9" ht="14.25">
      <c r="A87" s="484"/>
      <c r="B87" s="484"/>
      <c r="D87" s="1820"/>
      <c r="E87" s="1820"/>
      <c r="F87" s="1820"/>
      <c r="I87" s="490"/>
    </row>
    <row r="88" spans="1:9" ht="14.25">
      <c r="A88" s="484"/>
      <c r="B88" s="484"/>
      <c r="D88" s="385"/>
      <c r="E88" s="385"/>
      <c r="F88" s="385"/>
      <c r="I88" s="490"/>
    </row>
    <row r="89" spans="1:9" ht="15" customHeight="1">
      <c r="A89" s="484"/>
      <c r="B89" s="485" t="s">
        <v>2760</v>
      </c>
      <c r="D89" s="1820" t="s">
        <v>1728</v>
      </c>
      <c r="E89" s="1820"/>
      <c r="F89" s="1820"/>
      <c r="I89" s="490"/>
    </row>
    <row r="90" spans="1:9" ht="14.25">
      <c r="A90" s="484"/>
      <c r="B90" s="484"/>
      <c r="D90" s="1820"/>
      <c r="E90" s="1820"/>
      <c r="F90" s="1820"/>
      <c r="I90" s="490"/>
    </row>
    <row r="91" spans="1:9" ht="14.25">
      <c r="A91" s="484"/>
      <c r="B91" s="484"/>
      <c r="D91" s="445"/>
      <c r="E91" s="445"/>
      <c r="F91" s="445"/>
      <c r="I91" s="490"/>
    </row>
    <row r="92" spans="1:9" ht="14.25">
      <c r="A92" s="484"/>
      <c r="B92" s="485" t="s">
        <v>2760</v>
      </c>
      <c r="D92" s="1820" t="s">
        <v>1731</v>
      </c>
      <c r="E92" s="1820"/>
      <c r="F92" s="1820"/>
      <c r="I92" s="490"/>
    </row>
    <row r="93" spans="1:9" ht="14.25">
      <c r="A93" s="484"/>
      <c r="B93" s="484"/>
      <c r="D93" s="1820"/>
      <c r="E93" s="1820"/>
      <c r="F93" s="1820"/>
      <c r="I93" s="490"/>
    </row>
    <row r="94" spans="1:9" ht="14.25">
      <c r="A94" s="484"/>
      <c r="B94" s="484"/>
      <c r="D94" s="1820"/>
      <c r="E94" s="1820"/>
      <c r="F94" s="1820"/>
      <c r="I94" s="490"/>
    </row>
    <row r="95" spans="1:9" ht="14.25">
      <c r="A95" s="484"/>
      <c r="B95" s="484"/>
      <c r="D95" s="445"/>
      <c r="E95" s="445"/>
      <c r="F95" s="445"/>
      <c r="I95" s="490"/>
    </row>
    <row r="96" spans="1:9" ht="14.25">
      <c r="A96" s="484"/>
      <c r="B96" s="485" t="s">
        <v>2761</v>
      </c>
      <c r="D96" s="1820" t="s">
        <v>1730</v>
      </c>
      <c r="E96" s="1820"/>
      <c r="F96" s="1820"/>
      <c r="I96" s="490"/>
    </row>
    <row r="97" spans="1:9" s="982" customFormat="1" ht="14.25">
      <c r="A97" s="980"/>
      <c r="B97" s="980"/>
      <c r="C97" s="981"/>
      <c r="D97" s="1820"/>
      <c r="E97" s="1820"/>
      <c r="F97" s="1820"/>
      <c r="I97" s="1148"/>
    </row>
    <row r="98" spans="1:9" ht="14.25">
      <c r="A98" s="484"/>
      <c r="B98" s="484"/>
      <c r="D98" s="392"/>
      <c r="E98" s="312" t="s">
        <v>1894</v>
      </c>
      <c r="F98" s="445"/>
      <c r="I98" s="490"/>
    </row>
    <row r="99" spans="1:9" ht="14.25">
      <c r="A99" s="484"/>
      <c r="B99" s="484"/>
      <c r="D99" s="385"/>
      <c r="E99" s="385"/>
      <c r="F99" s="385"/>
      <c r="I99" s="490"/>
    </row>
    <row r="100" spans="1:9" ht="14.25">
      <c r="A100" s="484"/>
      <c r="B100" s="485" t="s">
        <v>2761</v>
      </c>
      <c r="D100" s="1820" t="s">
        <v>1729</v>
      </c>
      <c r="E100" s="1820"/>
      <c r="F100" s="1820"/>
      <c r="I100" s="490"/>
    </row>
    <row r="101" spans="1:9" ht="14.25">
      <c r="A101" s="484"/>
      <c r="B101" s="484"/>
      <c r="D101" s="1820"/>
      <c r="E101" s="1820"/>
      <c r="F101" s="1820"/>
      <c r="I101" s="490"/>
    </row>
    <row r="102" spans="1:9" ht="14.25">
      <c r="A102" s="484"/>
      <c r="B102" s="484"/>
      <c r="D102" s="445"/>
      <c r="E102" s="445"/>
      <c r="F102" s="445"/>
      <c r="I102" s="490"/>
    </row>
    <row r="103" spans="1:9" ht="14.45" customHeight="1">
      <c r="A103" s="484"/>
      <c r="B103" s="485" t="s">
        <v>2761</v>
      </c>
      <c r="D103" s="1820" t="s">
        <v>1192</v>
      </c>
      <c r="E103" s="1820"/>
      <c r="F103" s="1820"/>
      <c r="I103" s="490"/>
    </row>
    <row r="104" spans="1:9" ht="14.25">
      <c r="A104" s="484"/>
      <c r="B104" s="484"/>
      <c r="D104" s="1820"/>
      <c r="E104" s="1820"/>
      <c r="F104" s="1820"/>
      <c r="I104" s="490"/>
    </row>
    <row r="105" spans="1:9" ht="14.25">
      <c r="A105" s="484"/>
      <c r="B105" s="484"/>
      <c r="D105" s="1820"/>
      <c r="E105" s="1820"/>
      <c r="F105" s="1820"/>
      <c r="I105" s="490"/>
    </row>
    <row r="106" spans="1:9" ht="14.25">
      <c r="A106" s="484"/>
      <c r="B106" s="484"/>
      <c r="D106" s="1820"/>
      <c r="E106" s="1820"/>
      <c r="F106" s="1820"/>
      <c r="I106" s="490"/>
    </row>
    <row r="107" spans="1:9" ht="14.25">
      <c r="A107" s="484"/>
      <c r="B107" s="484"/>
      <c r="D107" s="1820"/>
      <c r="E107" s="1820"/>
      <c r="F107" s="1820"/>
      <c r="I107" s="490"/>
    </row>
    <row r="108" spans="1:9" ht="14.25">
      <c r="A108" s="484"/>
      <c r="B108" s="484"/>
      <c r="D108" s="1820"/>
      <c r="E108" s="1820"/>
      <c r="F108" s="1820"/>
      <c r="I108" s="490"/>
    </row>
    <row r="109" spans="1:9" ht="14.25">
      <c r="A109" s="484"/>
      <c r="B109" s="484"/>
      <c r="D109" s="1820"/>
      <c r="E109" s="1820"/>
      <c r="F109" s="1820"/>
      <c r="I109" s="490"/>
    </row>
    <row r="110" spans="1:9" ht="14.25">
      <c r="A110" s="484"/>
      <c r="B110" s="484"/>
      <c r="D110" s="1820"/>
      <c r="E110" s="1820"/>
      <c r="F110" s="1820"/>
      <c r="I110" s="490"/>
    </row>
    <row r="111" spans="1:9" ht="14.25">
      <c r="A111" s="484"/>
      <c r="B111" s="484"/>
      <c r="D111" s="1820"/>
      <c r="E111" s="1820"/>
      <c r="F111" s="1820"/>
      <c r="I111" s="490"/>
    </row>
    <row r="112" spans="1:9" ht="14.25">
      <c r="A112" s="484"/>
      <c r="B112" s="484"/>
      <c r="D112" s="1820"/>
      <c r="E112" s="1820"/>
      <c r="F112" s="1820"/>
      <c r="I112" s="490"/>
    </row>
    <row r="113" spans="1:9" ht="14.25">
      <c r="A113" s="484"/>
      <c r="B113" s="484"/>
      <c r="D113" s="1820"/>
      <c r="E113" s="1820"/>
      <c r="F113" s="1820"/>
      <c r="I113" s="490"/>
    </row>
    <row r="114" spans="1:9" ht="14.25">
      <c r="A114" s="484"/>
      <c r="B114" s="484"/>
      <c r="D114" s="1820"/>
      <c r="E114" s="1820"/>
      <c r="F114" s="1820"/>
      <c r="I114" s="490"/>
    </row>
    <row r="115" spans="1:9" ht="14.25">
      <c r="A115" s="484"/>
      <c r="B115" s="484"/>
      <c r="D115" s="1820"/>
      <c r="E115" s="1820"/>
      <c r="F115" s="1820"/>
      <c r="I115" s="490"/>
    </row>
    <row r="116" spans="1:9" ht="14.25">
      <c r="A116" s="484"/>
      <c r="B116" s="484"/>
      <c r="D116" s="1820"/>
      <c r="E116" s="1820"/>
      <c r="F116" s="1820"/>
      <c r="I116" s="490"/>
    </row>
    <row r="117" spans="1:9" ht="14.25">
      <c r="A117" s="484"/>
      <c r="B117" s="484"/>
      <c r="D117" s="1820"/>
      <c r="E117" s="1820"/>
      <c r="F117" s="1820"/>
      <c r="I117" s="490"/>
    </row>
    <row r="118" spans="1:9" ht="14.25">
      <c r="A118" s="484"/>
      <c r="B118" s="484"/>
      <c r="D118" s="524"/>
      <c r="E118" s="524"/>
      <c r="F118" s="524"/>
      <c r="I118" s="490"/>
    </row>
    <row r="119" spans="1:9" ht="14.25" customHeight="1">
      <c r="A119" s="484"/>
      <c r="B119" s="485" t="s">
        <v>2761</v>
      </c>
      <c r="D119" s="1838" t="s">
        <v>1101</v>
      </c>
      <c r="E119" s="1838"/>
      <c r="F119" s="1838"/>
      <c r="I119" s="490"/>
    </row>
    <row r="120" spans="1:9" ht="14.25">
      <c r="A120" s="484"/>
      <c r="B120" s="484"/>
      <c r="D120" s="1838"/>
      <c r="E120" s="1838"/>
      <c r="F120" s="1838"/>
      <c r="I120" s="490"/>
    </row>
    <row r="121" spans="1:9" ht="14.25">
      <c r="A121" s="484"/>
      <c r="B121" s="484"/>
      <c r="D121" s="1838"/>
      <c r="E121" s="1838"/>
      <c r="F121" s="1838"/>
      <c r="I121" s="490"/>
    </row>
    <row r="122" spans="1:9" ht="14.25">
      <c r="A122" s="484"/>
      <c r="B122" s="484"/>
      <c r="D122" s="1838"/>
      <c r="E122" s="1838"/>
      <c r="F122" s="1838"/>
      <c r="I122" s="490"/>
    </row>
    <row r="123" spans="1:9" ht="14.25">
      <c r="A123" s="484"/>
      <c r="B123" s="484"/>
      <c r="D123" s="1838"/>
      <c r="E123" s="1838"/>
      <c r="F123" s="1838"/>
      <c r="I123" s="490"/>
    </row>
    <row r="124" spans="1:9" ht="14.25">
      <c r="A124" s="484"/>
      <c r="B124" s="484"/>
      <c r="D124" s="1838"/>
      <c r="E124" s="1838"/>
      <c r="F124" s="1838"/>
      <c r="I124" s="490"/>
    </row>
    <row r="125" spans="1:9" ht="14.25">
      <c r="A125" s="484"/>
      <c r="B125" s="484"/>
      <c r="D125" s="1838"/>
      <c r="E125" s="1838"/>
      <c r="F125" s="1838"/>
      <c r="I125" s="490"/>
    </row>
    <row r="126" spans="1:9" ht="14.25">
      <c r="A126" s="484"/>
      <c r="B126" s="484"/>
      <c r="D126" s="1838"/>
      <c r="E126" s="1838"/>
      <c r="F126" s="1838"/>
      <c r="I126" s="490"/>
    </row>
    <row r="127" spans="1:9">
      <c r="C127" s="402"/>
      <c r="D127" s="525"/>
      <c r="E127" s="525"/>
      <c r="F127" s="525"/>
      <c r="I127" s="490"/>
    </row>
    <row r="128" spans="1:9" ht="14.25">
      <c r="A128" s="484"/>
      <c r="B128" s="485" t="s">
        <v>2760</v>
      </c>
      <c r="C128" s="402"/>
      <c r="D128" s="1838" t="s">
        <v>2006</v>
      </c>
      <c r="E128" s="1838"/>
      <c r="F128" s="1838"/>
      <c r="I128" s="490"/>
    </row>
    <row r="129" spans="1:9" ht="14.25">
      <c r="A129" s="484"/>
      <c r="B129" s="484"/>
      <c r="C129" s="402"/>
      <c r="D129" s="1838"/>
      <c r="E129" s="1838"/>
      <c r="F129" s="1838"/>
      <c r="I129" s="490"/>
    </row>
    <row r="130" spans="1:9">
      <c r="I130" s="490"/>
    </row>
    <row r="131" spans="1:9" ht="14.25">
      <c r="A131" s="484"/>
      <c r="B131" s="485" t="s">
        <v>2760</v>
      </c>
      <c r="D131" s="1820" t="s">
        <v>1102</v>
      </c>
      <c r="E131" s="1820"/>
      <c r="F131" s="1820"/>
      <c r="I131" s="490"/>
    </row>
    <row r="132" spans="1:9">
      <c r="D132" s="1820"/>
      <c r="E132" s="1820"/>
      <c r="F132" s="1820"/>
      <c r="I132" s="490"/>
    </row>
    <row r="133" spans="1:9">
      <c r="D133" s="1820"/>
      <c r="E133" s="1820"/>
      <c r="F133" s="1820"/>
      <c r="I133" s="490"/>
    </row>
    <row r="134" spans="1:9">
      <c r="D134" s="1820"/>
      <c r="E134" s="1820"/>
      <c r="F134" s="1820"/>
      <c r="I134" s="490"/>
    </row>
    <row r="135" spans="1:9">
      <c r="D135" s="1820"/>
      <c r="E135" s="1820"/>
      <c r="F135" s="1820"/>
      <c r="I135" s="490"/>
    </row>
    <row r="136" spans="1:9">
      <c r="I136" s="490"/>
    </row>
    <row r="137" spans="1:9" ht="14.25">
      <c r="A137" s="484"/>
      <c r="B137" s="485" t="s">
        <v>2760</v>
      </c>
      <c r="D137" s="1820" t="s">
        <v>1103</v>
      </c>
      <c r="E137" s="1820"/>
      <c r="F137" s="1820"/>
      <c r="I137" s="490"/>
    </row>
    <row r="138" spans="1:9" s="417" customFormat="1" ht="13.7" customHeight="1">
      <c r="A138" s="488"/>
      <c r="B138" s="488"/>
      <c r="C138" s="488"/>
      <c r="D138" s="1820"/>
      <c r="E138" s="1820"/>
      <c r="F138" s="1820"/>
      <c r="I138" s="1149"/>
    </row>
    <row r="139" spans="1:9" ht="13.7" customHeight="1">
      <c r="D139" s="1820"/>
      <c r="E139" s="1820"/>
      <c r="F139" s="1820"/>
      <c r="I139" s="490"/>
    </row>
    <row r="140" spans="1:9" ht="13.7" customHeight="1">
      <c r="D140" s="1820"/>
      <c r="E140" s="1820"/>
      <c r="F140" s="1820"/>
      <c r="I140" s="490"/>
    </row>
    <row r="141" spans="1:9" ht="13.7" customHeight="1">
      <c r="D141" s="1820"/>
      <c r="E141" s="1820"/>
      <c r="F141" s="1820"/>
      <c r="I141" s="490"/>
    </row>
    <row r="142" spans="1:9" ht="13.7" customHeight="1">
      <c r="A142" s="489"/>
      <c r="B142" s="489"/>
      <c r="D142" s="1820"/>
      <c r="E142" s="1820"/>
      <c r="F142" s="1820"/>
      <c r="I142" s="490"/>
    </row>
    <row r="143" spans="1:9" ht="13.7" customHeight="1">
      <c r="D143" s="1820"/>
      <c r="E143" s="1820"/>
      <c r="F143" s="1820"/>
      <c r="I143" s="490"/>
    </row>
    <row r="144" spans="1:9" ht="13.7" customHeight="1">
      <c r="D144" s="1820"/>
      <c r="E144" s="1820"/>
      <c r="F144" s="1820"/>
      <c r="I144" s="490"/>
    </row>
    <row r="145" spans="2:9" ht="13.7" customHeight="1">
      <c r="D145" s="1820"/>
      <c r="E145" s="1820"/>
      <c r="F145" s="1820"/>
      <c r="I145" s="490"/>
    </row>
    <row r="146" spans="2:9" ht="13.7" customHeight="1">
      <c r="D146" s="1820"/>
      <c r="E146" s="1820"/>
      <c r="F146" s="1820"/>
      <c r="I146" s="490"/>
    </row>
    <row r="147" spans="2:9" ht="13.7" customHeight="1">
      <c r="D147" s="1820"/>
      <c r="E147" s="1820"/>
      <c r="F147" s="1820"/>
      <c r="I147" s="490"/>
    </row>
    <row r="148" spans="2:9" ht="13.7" customHeight="1">
      <c r="D148" s="1820"/>
      <c r="E148" s="1820"/>
      <c r="F148" s="1820"/>
      <c r="I148" s="490"/>
    </row>
    <row r="149" spans="2:9" ht="13.7" customHeight="1">
      <c r="D149" s="1820"/>
      <c r="E149" s="1820"/>
      <c r="F149" s="1820"/>
      <c r="I149" s="490"/>
    </row>
    <row r="150" spans="2:9" ht="13.7" customHeight="1">
      <c r="D150" s="476"/>
      <c r="E150" s="446"/>
      <c r="F150" s="446"/>
      <c r="I150" s="490"/>
    </row>
    <row r="151" spans="2:9" ht="13.7" customHeight="1">
      <c r="B151" s="485" t="s">
        <v>2760</v>
      </c>
      <c r="D151" s="1820" t="s">
        <v>1175</v>
      </c>
      <c r="E151" s="1820"/>
      <c r="F151" s="1820"/>
      <c r="I151" s="490"/>
    </row>
    <row r="152" spans="2:9" ht="13.7" customHeight="1">
      <c r="D152" s="1820"/>
      <c r="E152" s="1820"/>
      <c r="F152" s="1820"/>
      <c r="I152" s="490"/>
    </row>
    <row r="153" spans="2:9" ht="13.7" customHeight="1">
      <c r="D153" s="1820"/>
      <c r="E153" s="1820"/>
      <c r="F153" s="1820"/>
      <c r="I153" s="490"/>
    </row>
    <row r="154" spans="2:9" ht="13.7" customHeight="1">
      <c r="D154" s="1820"/>
      <c r="E154" s="1820"/>
      <c r="F154" s="1820"/>
      <c r="I154" s="490"/>
    </row>
    <row r="155" spans="2:9" ht="13.7" customHeight="1">
      <c r="D155" s="1820"/>
      <c r="E155" s="1820"/>
      <c r="F155" s="1820"/>
      <c r="I155" s="490"/>
    </row>
    <row r="156" spans="2:9" ht="13.7" customHeight="1">
      <c r="D156" s="1820"/>
      <c r="E156" s="1820"/>
      <c r="F156" s="1820"/>
      <c r="I156" s="490"/>
    </row>
    <row r="157" spans="2:9" ht="13.7" customHeight="1">
      <c r="D157" s="1820"/>
      <c r="E157" s="1820"/>
      <c r="F157" s="1820"/>
      <c r="I157" s="490"/>
    </row>
    <row r="158" spans="2:9" ht="13.7" customHeight="1">
      <c r="D158" s="1820"/>
      <c r="E158" s="1820"/>
      <c r="F158" s="1820"/>
      <c r="I158" s="490"/>
    </row>
    <row r="159" spans="2:9" ht="13.7" customHeight="1">
      <c r="D159" s="1820"/>
      <c r="E159" s="1820"/>
      <c r="F159" s="1820"/>
      <c r="I159" s="490"/>
    </row>
    <row r="160" spans="2:9" ht="13.7" customHeight="1">
      <c r="D160" s="1820"/>
      <c r="E160" s="1820"/>
      <c r="F160" s="1820"/>
      <c r="I160" s="490"/>
    </row>
    <row r="161" spans="1:9" ht="13.7" customHeight="1">
      <c r="D161" s="1820"/>
      <c r="E161" s="1820"/>
      <c r="F161" s="1820"/>
      <c r="I161" s="490"/>
    </row>
    <row r="162" spans="1:9" ht="13.7" customHeight="1">
      <c r="D162" s="1820"/>
      <c r="E162" s="1820"/>
      <c r="F162" s="1820"/>
      <c r="I162" s="490"/>
    </row>
    <row r="163" spans="1:9" ht="13.7" customHeight="1">
      <c r="D163" s="1820"/>
      <c r="E163" s="1820"/>
      <c r="F163" s="1820"/>
      <c r="I163" s="490"/>
    </row>
    <row r="164" spans="1:9" ht="13.7" customHeight="1">
      <c r="D164" s="1820"/>
      <c r="E164" s="1820"/>
      <c r="F164" s="1820"/>
      <c r="I164" s="490"/>
    </row>
    <row r="165" spans="1:9" ht="13.7" customHeight="1">
      <c r="D165" s="1820"/>
      <c r="E165" s="1820"/>
      <c r="F165" s="1820"/>
      <c r="I165" s="490"/>
    </row>
    <row r="166" spans="1:9" ht="13.7" customHeight="1">
      <c r="D166" s="1820"/>
      <c r="E166" s="1820"/>
      <c r="F166" s="1820"/>
      <c r="I166" s="490"/>
    </row>
    <row r="167" spans="1:9" ht="13.7" customHeight="1">
      <c r="D167" s="1820"/>
      <c r="E167" s="1820"/>
      <c r="F167" s="1820"/>
      <c r="I167" s="490"/>
    </row>
    <row r="168" spans="1:9" ht="13.7" customHeight="1">
      <c r="D168" s="1820"/>
      <c r="E168" s="1820"/>
      <c r="F168" s="1820"/>
      <c r="I168" s="490"/>
    </row>
    <row r="169" spans="1:9" ht="13.7" customHeight="1">
      <c r="D169" s="1839" t="s">
        <v>2028</v>
      </c>
      <c r="E169" s="1839"/>
      <c r="F169" s="1839"/>
      <c r="G169" s="507"/>
      <c r="I169" s="490"/>
    </row>
    <row r="170" spans="1:9" ht="13.7" customHeight="1">
      <c r="D170" s="1834"/>
      <c r="E170" s="1834"/>
      <c r="F170" s="1834"/>
      <c r="G170" s="1834"/>
      <c r="I170" s="490"/>
    </row>
    <row r="171" spans="1:9" ht="14.45" customHeight="1">
      <c r="A171" s="489"/>
      <c r="B171" s="485" t="s">
        <v>2761</v>
      </c>
      <c r="C171" s="476"/>
      <c r="D171" s="1801" t="s">
        <v>2164</v>
      </c>
      <c r="E171" s="1801"/>
      <c r="F171" s="1801"/>
      <c r="G171" s="476"/>
      <c r="I171" s="490"/>
    </row>
    <row r="172" spans="1:9" ht="14.45" customHeight="1">
      <c r="A172" s="489"/>
      <c r="B172" s="489"/>
      <c r="C172" s="476"/>
      <c r="D172" s="1801"/>
      <c r="E172" s="1801"/>
      <c r="F172" s="1801"/>
      <c r="G172" s="476"/>
      <c r="I172" s="490"/>
    </row>
    <row r="173" spans="1:9" ht="14.45" customHeight="1">
      <c r="A173" s="489"/>
      <c r="B173" s="489"/>
      <c r="C173" s="476"/>
      <c r="D173" s="1801"/>
      <c r="E173" s="1801"/>
      <c r="F173" s="1801"/>
      <c r="G173" s="476"/>
      <c r="I173" s="490"/>
    </row>
    <row r="174" spans="1:9" ht="14.45" customHeight="1">
      <c r="A174" s="489"/>
      <c r="B174" s="489"/>
      <c r="C174" s="476"/>
      <c r="D174" s="1801"/>
      <c r="E174" s="1801"/>
      <c r="F174" s="1801"/>
      <c r="G174" s="476"/>
      <c r="I174" s="490"/>
    </row>
    <row r="175" spans="1:9" ht="13.7" customHeight="1">
      <c r="A175" s="489"/>
      <c r="B175" s="489"/>
      <c r="C175" s="476"/>
      <c r="D175" s="1801"/>
      <c r="E175" s="1801"/>
      <c r="F175" s="1801"/>
      <c r="G175" s="476"/>
      <c r="I175" s="490"/>
    </row>
    <row r="176" spans="1:9" ht="13.7" customHeight="1">
      <c r="A176" s="489"/>
      <c r="B176" s="489"/>
      <c r="C176" s="476"/>
      <c r="D176" s="476"/>
      <c r="E176" s="476"/>
      <c r="F176" s="476"/>
      <c r="G176" s="476"/>
      <c r="I176" s="490"/>
    </row>
    <row r="177" spans="1:9" ht="13.7" customHeight="1">
      <c r="A177" s="489"/>
      <c r="B177" s="485" t="s">
        <v>2760</v>
      </c>
      <c r="C177" s="476"/>
      <c r="D177" s="1801" t="s">
        <v>1104</v>
      </c>
      <c r="E177" s="1801"/>
      <c r="F177" s="1801"/>
      <c r="G177" s="476"/>
      <c r="I177" s="490"/>
    </row>
    <row r="178" spans="1:9" ht="13.7" customHeight="1">
      <c r="A178" s="489"/>
      <c r="B178" s="489"/>
      <c r="C178" s="476"/>
      <c r="D178" s="1801"/>
      <c r="E178" s="1801"/>
      <c r="F178" s="1801"/>
      <c r="G178" s="476"/>
      <c r="I178" s="490"/>
    </row>
    <row r="179" spans="1:9" ht="13.7" customHeight="1">
      <c r="A179" s="489"/>
      <c r="B179" s="489"/>
      <c r="C179" s="476"/>
      <c r="D179" s="1801"/>
      <c r="E179" s="1801"/>
      <c r="F179" s="1801"/>
      <c r="G179" s="476"/>
      <c r="I179" s="490"/>
    </row>
    <row r="180" spans="1:9" ht="13.7" customHeight="1">
      <c r="A180" s="489"/>
      <c r="B180" s="489"/>
      <c r="C180" s="476"/>
      <c r="D180" s="1801"/>
      <c r="E180" s="1801"/>
      <c r="F180" s="1801"/>
      <c r="G180" s="476"/>
      <c r="I180" s="490"/>
    </row>
    <row r="181" spans="1:9" ht="13.7" customHeight="1">
      <c r="D181" s="446"/>
      <c r="E181" s="446"/>
      <c r="F181" s="446"/>
      <c r="I181" s="490"/>
    </row>
    <row r="182" spans="1:9" ht="13.7" hidden="1" customHeight="1">
      <c r="B182" s="485" t="s">
        <v>306</v>
      </c>
      <c r="D182" s="1824" t="s">
        <v>2007</v>
      </c>
      <c r="E182" s="1824"/>
      <c r="F182" s="1824"/>
      <c r="I182" s="490"/>
    </row>
    <row r="183" spans="1:9" ht="13.7" hidden="1" customHeight="1">
      <c r="D183" s="1824"/>
      <c r="E183" s="1824"/>
      <c r="F183" s="1824"/>
      <c r="I183" s="490"/>
    </row>
    <row r="184" spans="1:9" ht="13.7" hidden="1" customHeight="1">
      <c r="D184" s="1824"/>
      <c r="E184" s="1824"/>
      <c r="F184" s="1824"/>
      <c r="I184" s="490"/>
    </row>
    <row r="185" spans="1:9" ht="13.7" customHeight="1">
      <c r="A185" s="490"/>
      <c r="B185" s="490"/>
      <c r="E185" s="446"/>
      <c r="F185" s="446"/>
      <c r="I185" s="490"/>
    </row>
    <row r="186" spans="1:9">
      <c r="A186" s="1823" t="s">
        <v>2008</v>
      </c>
      <c r="B186" s="1823"/>
      <c r="C186" s="1823"/>
      <c r="D186" s="1823"/>
      <c r="E186" s="1823"/>
      <c r="F186" s="1823"/>
      <c r="G186" s="1823"/>
      <c r="H186" s="1023"/>
      <c r="I186" s="1147"/>
    </row>
    <row r="187" spans="1:9" ht="12" customHeight="1">
      <c r="D187" s="446"/>
      <c r="E187" s="446"/>
      <c r="F187" s="446"/>
      <c r="I187" s="490"/>
    </row>
    <row r="188" spans="1:9">
      <c r="B188" s="1827" t="s">
        <v>444</v>
      </c>
      <c r="C188" s="1827"/>
      <c r="D188" s="1827"/>
      <c r="E188" s="1827"/>
      <c r="F188" s="1827"/>
      <c r="I188" s="490"/>
    </row>
    <row r="189" spans="1:9">
      <c r="B189" s="392" t="s">
        <v>1846</v>
      </c>
      <c r="C189" s="392"/>
      <c r="D189" s="392"/>
      <c r="E189" s="392"/>
      <c r="F189" s="392"/>
      <c r="I189" s="490"/>
    </row>
    <row r="190" spans="1:9" ht="12" customHeight="1">
      <c r="A190" s="482"/>
      <c r="B190" s="482"/>
      <c r="C190" s="482"/>
      <c r="I190" s="490"/>
    </row>
    <row r="191" spans="1:9">
      <c r="A191" s="1823" t="s">
        <v>1043</v>
      </c>
      <c r="B191" s="1823"/>
      <c r="C191" s="1823"/>
      <c r="D191" s="1823"/>
      <c r="E191" s="1823"/>
      <c r="F191" s="1823"/>
      <c r="G191" s="1823"/>
      <c r="H191" s="1023"/>
      <c r="I191" s="1147"/>
    </row>
    <row r="192" spans="1:9" ht="12" customHeight="1">
      <c r="A192" s="404"/>
      <c r="B192" s="404"/>
      <c r="E192" s="404"/>
      <c r="I192" s="490"/>
    </row>
    <row r="193" spans="1:9" ht="13.7" customHeight="1">
      <c r="A193" s="404"/>
      <c r="B193" s="404"/>
      <c r="D193" s="1822" t="s">
        <v>1732</v>
      </c>
      <c r="E193" s="1822"/>
      <c r="F193" s="1822"/>
      <c r="I193" s="490"/>
    </row>
    <row r="194" spans="1:9">
      <c r="A194" s="404"/>
      <c r="B194" s="404"/>
      <c r="D194" s="1822"/>
      <c r="E194" s="1822"/>
      <c r="F194" s="1822"/>
      <c r="I194" s="490"/>
    </row>
    <row r="195" spans="1:9">
      <c r="A195" s="404"/>
      <c r="B195" s="404"/>
      <c r="D195" s="1827" t="s">
        <v>1193</v>
      </c>
      <c r="E195" s="1827"/>
      <c r="F195" s="1827"/>
      <c r="I195" s="490"/>
    </row>
    <row r="196" spans="1:9">
      <c r="A196" s="404"/>
      <c r="B196" s="404"/>
      <c r="D196" s="392"/>
      <c r="E196" s="392"/>
      <c r="F196" s="392"/>
      <c r="I196" s="490"/>
    </row>
    <row r="197" spans="1:9">
      <c r="A197" s="404"/>
      <c r="B197" s="485" t="s">
        <v>2760</v>
      </c>
      <c r="D197" s="1835" t="s">
        <v>1733</v>
      </c>
      <c r="E197" s="1835"/>
      <c r="F197" s="1835"/>
      <c r="I197" s="490"/>
    </row>
    <row r="198" spans="1:9">
      <c r="A198" s="404"/>
      <c r="B198" s="404"/>
      <c r="D198" s="1836" t="s">
        <v>1872</v>
      </c>
      <c r="E198" s="1836"/>
      <c r="F198" s="1836"/>
      <c r="I198" s="490"/>
    </row>
    <row r="199" spans="1:9">
      <c r="A199" s="404"/>
      <c r="B199" s="404"/>
      <c r="D199" s="96" t="s">
        <v>1734</v>
      </c>
      <c r="E199" s="1837" t="s">
        <v>1895</v>
      </c>
      <c r="F199" s="1837"/>
      <c r="I199" s="490"/>
    </row>
    <row r="200" spans="1:9">
      <c r="A200" s="404"/>
      <c r="B200" s="404"/>
      <c r="D200" s="3"/>
      <c r="E200" s="3"/>
      <c r="F200" s="3"/>
      <c r="I200" s="490"/>
    </row>
    <row r="201" spans="1:9">
      <c r="A201" s="404"/>
      <c r="B201" s="485" t="s">
        <v>2761</v>
      </c>
      <c r="D201" s="1836" t="s">
        <v>1735</v>
      </c>
      <c r="E201" s="1836"/>
      <c r="F201" s="1836"/>
      <c r="I201" s="490"/>
    </row>
    <row r="202" spans="1:9">
      <c r="A202" s="404"/>
      <c r="B202" s="404"/>
      <c r="D202" s="1835" t="s">
        <v>1872</v>
      </c>
      <c r="E202" s="1835"/>
      <c r="F202" s="1835"/>
      <c r="I202" s="490"/>
    </row>
    <row r="203" spans="1:9">
      <c r="A203" s="404"/>
      <c r="B203" s="404"/>
      <c r="D203" s="57" t="s">
        <v>1736</v>
      </c>
      <c r="E203" s="1837" t="s">
        <v>1896</v>
      </c>
      <c r="F203" s="1837"/>
      <c r="I203" s="490"/>
    </row>
    <row r="204" spans="1:9">
      <c r="A204" s="404"/>
      <c r="B204" s="404"/>
      <c r="D204" s="3"/>
      <c r="E204" s="3"/>
      <c r="F204" s="3"/>
      <c r="I204" s="490"/>
    </row>
    <row r="205" spans="1:9">
      <c r="A205" s="404"/>
      <c r="B205" s="485" t="s">
        <v>2761</v>
      </c>
      <c r="D205" s="1836" t="s">
        <v>1737</v>
      </c>
      <c r="E205" s="1836"/>
      <c r="F205" s="1836"/>
      <c r="I205" s="490"/>
    </row>
    <row r="206" spans="1:9">
      <c r="A206" s="404"/>
      <c r="B206" s="404"/>
      <c r="D206" s="1835" t="s">
        <v>1872</v>
      </c>
      <c r="E206" s="1835"/>
      <c r="F206" s="1835"/>
      <c r="I206" s="490"/>
    </row>
    <row r="207" spans="1:9">
      <c r="A207" s="404"/>
      <c r="B207" s="404"/>
      <c r="D207" s="57" t="s">
        <v>1734</v>
      </c>
      <c r="E207" s="1837" t="s">
        <v>1897</v>
      </c>
      <c r="F207" s="1837"/>
      <c r="I207" s="490"/>
    </row>
    <row r="208" spans="1:9">
      <c r="A208" s="404"/>
      <c r="B208" s="404"/>
      <c r="D208" s="392"/>
      <c r="E208" s="392"/>
      <c r="F208" s="392"/>
      <c r="I208" s="490"/>
    </row>
    <row r="209" spans="1:9" ht="14.25" customHeight="1">
      <c r="A209" s="484"/>
      <c r="B209" s="485" t="s">
        <v>2761</v>
      </c>
      <c r="D209" s="386" t="s">
        <v>1865</v>
      </c>
      <c r="E209" s="385"/>
      <c r="F209" s="385"/>
      <c r="I209" s="490"/>
    </row>
    <row r="210" spans="1:9" ht="14.25">
      <c r="A210" s="484"/>
      <c r="B210" s="484"/>
      <c r="D210" s="1835" t="s">
        <v>1872</v>
      </c>
      <c r="E210" s="1835"/>
      <c r="F210" s="1835"/>
      <c r="I210" s="490"/>
    </row>
    <row r="211" spans="1:9">
      <c r="D211" s="385"/>
      <c r="E211" s="1837" t="s">
        <v>1898</v>
      </c>
      <c r="F211" s="1837"/>
      <c r="I211" s="490"/>
    </row>
    <row r="212" spans="1:9">
      <c r="D212" s="447"/>
      <c r="I212" s="490"/>
    </row>
    <row r="213" spans="1:9">
      <c r="B213" s="485" t="s">
        <v>2761</v>
      </c>
      <c r="D213" s="1836" t="s">
        <v>1738</v>
      </c>
      <c r="E213" s="1836"/>
      <c r="F213" s="1836"/>
      <c r="I213" s="490"/>
    </row>
    <row r="214" spans="1:9">
      <c r="D214" s="1835" t="s">
        <v>1872</v>
      </c>
      <c r="E214" s="1835"/>
      <c r="F214" s="1835"/>
      <c r="I214" s="490"/>
    </row>
    <row r="215" spans="1:9">
      <c r="D215" s="57" t="s">
        <v>1734</v>
      </c>
      <c r="E215" s="1837" t="s">
        <v>1899</v>
      </c>
      <c r="F215" s="1837"/>
      <c r="I215" s="490"/>
    </row>
    <row r="216" spans="1:9">
      <c r="D216" s="451"/>
      <c r="E216" s="451"/>
      <c r="F216" s="451"/>
      <c r="I216" s="490"/>
    </row>
    <row r="217" spans="1:9" ht="14.25">
      <c r="A217" s="484"/>
      <c r="B217" s="485" t="s">
        <v>2761</v>
      </c>
      <c r="D217" s="1820" t="s">
        <v>1214</v>
      </c>
      <c r="E217" s="1820"/>
      <c r="F217" s="1820"/>
      <c r="I217" s="490"/>
    </row>
    <row r="218" spans="1:9" ht="14.45" customHeight="1">
      <c r="A218" s="484"/>
      <c r="B218" s="402"/>
      <c r="D218" s="1820"/>
      <c r="E218" s="1820"/>
      <c r="F218" s="1820"/>
      <c r="I218" s="490"/>
    </row>
    <row r="219" spans="1:9" ht="14.25">
      <c r="A219" s="484"/>
      <c r="D219" s="1820"/>
      <c r="E219" s="1820"/>
      <c r="F219" s="1820"/>
      <c r="I219" s="490"/>
    </row>
    <row r="220" spans="1:9" ht="14.25">
      <c r="A220" s="484"/>
      <c r="D220" s="1820"/>
      <c r="E220" s="1820"/>
      <c r="F220" s="1820"/>
      <c r="I220" s="490"/>
    </row>
    <row r="221" spans="1:9">
      <c r="D221" s="451"/>
      <c r="E221" s="451"/>
      <c r="F221" s="451"/>
      <c r="I221" s="490"/>
    </row>
    <row r="222" spans="1:9">
      <c r="A222" s="1823" t="s">
        <v>1044</v>
      </c>
      <c r="B222" s="1823"/>
      <c r="C222" s="1823"/>
      <c r="D222" s="1823"/>
      <c r="E222" s="1823"/>
      <c r="F222" s="1823"/>
      <c r="G222" s="1823"/>
      <c r="H222" s="1023"/>
      <c r="I222" s="1147"/>
    </row>
    <row r="223" spans="1:9" ht="12" customHeight="1">
      <c r="D223" s="446"/>
      <c r="E223" s="446"/>
      <c r="F223" s="446"/>
      <c r="I223" s="490"/>
    </row>
    <row r="224" spans="1:9">
      <c r="C224" s="486"/>
      <c r="D224" s="1829" t="s">
        <v>207</v>
      </c>
      <c r="E224" s="1829"/>
      <c r="F224" s="1829"/>
      <c r="I224" s="490"/>
    </row>
    <row r="225" spans="1:9">
      <c r="A225" s="482"/>
      <c r="B225" s="482"/>
      <c r="C225" s="482"/>
      <c r="D225" s="1821" t="s">
        <v>1118</v>
      </c>
      <c r="E225" s="1821"/>
      <c r="F225" s="1821"/>
      <c r="I225" s="490"/>
    </row>
    <row r="226" spans="1:9" ht="12" customHeight="1">
      <c r="A226" s="490"/>
      <c r="B226" s="490"/>
      <c r="C226" s="490"/>
      <c r="I226" s="490"/>
    </row>
    <row r="227" spans="1:9" ht="13.7" customHeight="1">
      <c r="A227" s="490"/>
      <c r="C227" s="490"/>
      <c r="D227" s="1829" t="s">
        <v>544</v>
      </c>
      <c r="E227" s="1829"/>
      <c r="F227" s="1829"/>
      <c r="I227" s="490"/>
    </row>
    <row r="228" spans="1:9" ht="14.25">
      <c r="A228" s="484"/>
      <c r="B228" s="485" t="s">
        <v>2760</v>
      </c>
      <c r="D228" s="1820" t="s">
        <v>1739</v>
      </c>
      <c r="E228" s="1820"/>
      <c r="F228" s="1820"/>
      <c r="I228" s="490"/>
    </row>
    <row r="229" spans="1:9" ht="14.25" customHeight="1">
      <c r="A229" s="484"/>
      <c r="B229" s="484"/>
      <c r="D229" s="1820"/>
      <c r="E229" s="1820"/>
      <c r="F229" s="1820"/>
      <c r="I229" s="490"/>
    </row>
    <row r="230" spans="1:9" ht="14.25" customHeight="1">
      <c r="A230" s="484"/>
      <c r="B230" s="484"/>
      <c r="D230" s="1820"/>
      <c r="E230" s="1820"/>
      <c r="F230" s="1820"/>
      <c r="I230" s="490"/>
    </row>
    <row r="231" spans="1:9" ht="14.25">
      <c r="A231" s="484"/>
      <c r="B231" s="484"/>
      <c r="D231" s="1820"/>
      <c r="E231" s="1820"/>
      <c r="F231" s="1820"/>
      <c r="I231" s="490"/>
    </row>
    <row r="232" spans="1:9" ht="14.25">
      <c r="A232" s="484"/>
      <c r="B232" s="484"/>
      <c r="D232" s="445"/>
      <c r="E232" s="445"/>
      <c r="F232" s="445"/>
      <c r="I232" s="490"/>
    </row>
    <row r="233" spans="1:9" ht="14.25">
      <c r="A233" s="484"/>
      <c r="B233" s="485" t="s">
        <v>2760</v>
      </c>
      <c r="D233" s="1820" t="s">
        <v>1740</v>
      </c>
      <c r="E233" s="1820"/>
      <c r="F233" s="1820"/>
      <c r="I233" s="490"/>
    </row>
    <row r="234" spans="1:9" ht="14.25">
      <c r="A234" s="484"/>
      <c r="B234" s="484"/>
      <c r="D234" s="1820"/>
      <c r="E234" s="1820"/>
      <c r="F234" s="1820"/>
      <c r="I234" s="490"/>
    </row>
    <row r="235" spans="1:9" ht="14.25">
      <c r="A235" s="484"/>
      <c r="B235" s="484"/>
      <c r="D235" s="1820"/>
      <c r="E235" s="1820"/>
      <c r="F235" s="1820"/>
      <c r="I235" s="490"/>
    </row>
    <row r="236" spans="1:9" ht="14.25">
      <c r="A236" s="484"/>
      <c r="B236" s="484"/>
      <c r="D236" s="1820"/>
      <c r="E236" s="1820"/>
      <c r="F236" s="1820"/>
      <c r="I236" s="490"/>
    </row>
    <row r="237" spans="1:9" ht="14.25" customHeight="1">
      <c r="A237" s="484"/>
      <c r="B237" s="484"/>
      <c r="D237" s="1820"/>
      <c r="E237" s="1820"/>
      <c r="F237" s="1820"/>
      <c r="I237" s="490"/>
    </row>
    <row r="238" spans="1:9" ht="14.25" customHeight="1">
      <c r="A238" s="484"/>
      <c r="B238" s="484"/>
      <c r="D238" s="445"/>
      <c r="E238" s="445"/>
      <c r="F238" s="445"/>
      <c r="I238" s="490"/>
    </row>
    <row r="239" spans="1:9" ht="14.25">
      <c r="A239" s="484"/>
      <c r="B239" s="484"/>
      <c r="D239" s="1820" t="s">
        <v>1116</v>
      </c>
      <c r="E239" s="1820"/>
      <c r="F239" s="1820"/>
      <c r="I239" s="490"/>
    </row>
    <row r="240" spans="1:9" ht="14.25">
      <c r="A240" s="484"/>
      <c r="B240" s="484"/>
      <c r="D240" s="1820"/>
      <c r="E240" s="1820"/>
      <c r="F240" s="1820"/>
      <c r="I240" s="490"/>
    </row>
    <row r="241" spans="1:9" ht="14.25">
      <c r="A241" s="484"/>
      <c r="B241" s="484"/>
      <c r="D241" s="1820"/>
      <c r="E241" s="1820"/>
      <c r="F241" s="1820"/>
      <c r="I241" s="490"/>
    </row>
    <row r="242" spans="1:9" ht="14.25">
      <c r="A242" s="484"/>
      <c r="B242" s="484"/>
      <c r="D242" s="1820"/>
      <c r="E242" s="1820"/>
      <c r="F242" s="1820"/>
      <c r="I242" s="490"/>
    </row>
    <row r="243" spans="1:9" ht="14.25">
      <c r="A243" s="484"/>
      <c r="B243" s="484"/>
      <c r="D243" s="1820"/>
      <c r="E243" s="1820"/>
      <c r="F243" s="1820"/>
      <c r="I243" s="490"/>
    </row>
    <row r="244" spans="1:9" ht="14.25">
      <c r="A244" s="484"/>
      <c r="B244" s="484"/>
      <c r="D244" s="446"/>
      <c r="E244" s="446"/>
      <c r="F244" s="446"/>
      <c r="I244" s="490"/>
    </row>
    <row r="245" spans="1:9" ht="14.25">
      <c r="A245" s="484"/>
      <c r="B245" s="485" t="s">
        <v>2760</v>
      </c>
      <c r="D245" s="1820" t="s">
        <v>2009</v>
      </c>
      <c r="E245" s="1820"/>
      <c r="F245" s="1820"/>
      <c r="I245" s="490"/>
    </row>
    <row r="246" spans="1:9" ht="14.25">
      <c r="A246" s="484"/>
      <c r="B246" s="484"/>
      <c r="D246" s="1820"/>
      <c r="E246" s="1820"/>
      <c r="F246" s="1820"/>
      <c r="I246" s="490"/>
    </row>
    <row r="247" spans="1:9" ht="14.25">
      <c r="A247" s="484"/>
      <c r="B247" s="484"/>
      <c r="D247" s="1820"/>
      <c r="E247" s="1820"/>
      <c r="F247" s="1820"/>
      <c r="I247" s="490"/>
    </row>
    <row r="248" spans="1:9" ht="14.25">
      <c r="A248" s="484"/>
      <c r="B248" s="484"/>
      <c r="E248" s="1031" t="s">
        <v>1866</v>
      </c>
      <c r="I248" s="490"/>
    </row>
    <row r="249" spans="1:9" ht="14.25">
      <c r="A249" s="484"/>
      <c r="B249" s="484"/>
      <c r="D249" s="446"/>
      <c r="E249" s="446"/>
      <c r="F249" s="446"/>
      <c r="I249" s="490"/>
    </row>
    <row r="250" spans="1:9" ht="14.45" customHeight="1">
      <c r="A250" s="484"/>
      <c r="B250" s="485" t="s">
        <v>2761</v>
      </c>
      <c r="D250" s="1820" t="s">
        <v>2010</v>
      </c>
      <c r="E250" s="1820"/>
      <c r="F250" s="1820"/>
      <c r="I250" s="490"/>
    </row>
    <row r="251" spans="1:9" ht="14.25">
      <c r="A251" s="484"/>
      <c r="B251" s="484"/>
      <c r="D251" s="1820"/>
      <c r="E251" s="1820"/>
      <c r="F251" s="1820"/>
      <c r="I251" s="490"/>
    </row>
    <row r="252" spans="1:9" ht="14.25">
      <c r="A252" s="484"/>
      <c r="B252" s="484"/>
      <c r="D252" s="1820"/>
      <c r="E252" s="1820"/>
      <c r="F252" s="1820"/>
      <c r="I252" s="490"/>
    </row>
    <row r="253" spans="1:9" ht="14.25">
      <c r="A253" s="484"/>
      <c r="B253" s="484"/>
      <c r="D253" s="1820"/>
      <c r="E253" s="1820"/>
      <c r="F253" s="1820"/>
      <c r="I253" s="490"/>
    </row>
    <row r="254" spans="1:9" ht="14.25">
      <c r="A254" s="484"/>
      <c r="B254" s="484"/>
      <c r="D254" s="1820"/>
      <c r="E254" s="1820"/>
      <c r="F254" s="1820"/>
      <c r="I254" s="490"/>
    </row>
    <row r="255" spans="1:9" ht="14.25">
      <c r="A255" s="484"/>
      <c r="B255" s="484"/>
      <c r="D255" s="445"/>
      <c r="E255" s="445"/>
      <c r="F255" s="445"/>
      <c r="I255" s="490"/>
    </row>
    <row r="256" spans="1:9" ht="14.25">
      <c r="A256" s="484"/>
      <c r="B256" s="485" t="s">
        <v>2760</v>
      </c>
      <c r="D256" s="392" t="s">
        <v>2011</v>
      </c>
      <c r="E256" s="445"/>
      <c r="F256" s="445"/>
      <c r="I256" s="490"/>
    </row>
    <row r="257" spans="1:9" ht="14.25">
      <c r="A257" s="484"/>
      <c r="B257" s="484"/>
      <c r="E257" s="1031" t="s">
        <v>1867</v>
      </c>
      <c r="I257" s="490"/>
    </row>
    <row r="258" spans="1:9">
      <c r="D258" s="446"/>
      <c r="E258" s="446"/>
      <c r="F258" s="446"/>
      <c r="I258" s="490"/>
    </row>
    <row r="259" spans="1:9" ht="14.25">
      <c r="A259" s="484"/>
      <c r="B259" s="485" t="s">
        <v>2760</v>
      </c>
      <c r="D259" s="1820" t="s">
        <v>1117</v>
      </c>
      <c r="E259" s="1820"/>
      <c r="F259" s="1820"/>
      <c r="I259" s="490"/>
    </row>
    <row r="260" spans="1:9" ht="14.25">
      <c r="A260" s="484"/>
      <c r="B260" s="484"/>
      <c r="D260" s="1820"/>
      <c r="E260" s="1820"/>
      <c r="F260" s="1820"/>
      <c r="I260" s="490"/>
    </row>
    <row r="261" spans="1:9">
      <c r="D261" s="491"/>
      <c r="I261" s="490"/>
    </row>
    <row r="262" spans="1:9">
      <c r="A262" s="1823" t="s">
        <v>1045</v>
      </c>
      <c r="B262" s="1823"/>
      <c r="C262" s="1823"/>
      <c r="D262" s="1823"/>
      <c r="E262" s="1823"/>
      <c r="F262" s="1823"/>
      <c r="G262" s="1823"/>
      <c r="H262" s="1023"/>
      <c r="I262" s="1147"/>
    </row>
    <row r="263" spans="1:9">
      <c r="D263" s="491"/>
      <c r="I263" s="490"/>
    </row>
    <row r="264" spans="1:9">
      <c r="C264" s="486"/>
      <c r="D264" s="1829" t="s">
        <v>1119</v>
      </c>
      <c r="E264" s="1829"/>
      <c r="F264" s="1829"/>
      <c r="I264" s="490"/>
    </row>
    <row r="265" spans="1:9">
      <c r="A265" s="482"/>
      <c r="B265" s="482"/>
      <c r="C265" s="482"/>
      <c r="D265" s="446"/>
      <c r="E265" s="446"/>
      <c r="F265" s="446"/>
      <c r="I265" s="490"/>
    </row>
    <row r="266" spans="1:9">
      <c r="A266" s="483"/>
      <c r="B266" s="483"/>
      <c r="C266" s="483"/>
      <c r="D266" s="1829" t="s">
        <v>268</v>
      </c>
      <c r="E266" s="1829"/>
      <c r="F266" s="1829"/>
      <c r="I266" s="490"/>
    </row>
    <row r="267" spans="1:9" ht="14.45" customHeight="1">
      <c r="A267" s="484"/>
      <c r="B267" s="485" t="s">
        <v>2760</v>
      </c>
      <c r="D267" s="1820" t="s">
        <v>1194</v>
      </c>
      <c r="E267" s="1820"/>
      <c r="F267" s="1820"/>
      <c r="I267" s="490"/>
    </row>
    <row r="268" spans="1:9">
      <c r="D268" s="1820"/>
      <c r="E268" s="1820"/>
      <c r="F268" s="1820"/>
      <c r="I268" s="490"/>
    </row>
    <row r="269" spans="1:9">
      <c r="E269" s="1031" t="s">
        <v>1868</v>
      </c>
      <c r="I269" s="490"/>
    </row>
    <row r="270" spans="1:9">
      <c r="D270" s="446"/>
      <c r="E270" s="446"/>
      <c r="F270" s="446"/>
      <c r="I270" s="490"/>
    </row>
    <row r="271" spans="1:9" ht="14.45" customHeight="1">
      <c r="A271" s="484"/>
      <c r="B271" s="485" t="s">
        <v>2761</v>
      </c>
      <c r="D271" s="1820" t="s">
        <v>2012</v>
      </c>
      <c r="E271" s="1820"/>
      <c r="F271" s="1820"/>
      <c r="I271" s="490"/>
    </row>
    <row r="272" spans="1:9">
      <c r="D272" s="1820"/>
      <c r="E272" s="1820"/>
      <c r="F272" s="1820"/>
      <c r="I272" s="490"/>
    </row>
    <row r="273" spans="1:9">
      <c r="D273" s="1820"/>
      <c r="E273" s="1820"/>
      <c r="F273" s="1820"/>
      <c r="I273" s="490"/>
    </row>
    <row r="274" spans="1:9">
      <c r="D274" s="1820"/>
      <c r="E274" s="1820"/>
      <c r="F274" s="1820"/>
      <c r="I274" s="490"/>
    </row>
    <row r="275" spans="1:9">
      <c r="D275" s="1820"/>
      <c r="E275" s="1820"/>
      <c r="F275" s="1820"/>
      <c r="I275" s="490"/>
    </row>
    <row r="276" spans="1:9">
      <c r="D276" s="1820"/>
      <c r="E276" s="1820"/>
      <c r="F276" s="1820"/>
      <c r="I276" s="490"/>
    </row>
    <row r="277" spans="1:9">
      <c r="D277" s="446"/>
      <c r="E277" s="446"/>
      <c r="F277" s="446"/>
      <c r="I277" s="490"/>
    </row>
    <row r="278" spans="1:9" ht="14.25">
      <c r="A278" s="484"/>
      <c r="B278" s="485" t="s">
        <v>2761</v>
      </c>
      <c r="D278" s="1820" t="s">
        <v>1120</v>
      </c>
      <c r="E278" s="1820"/>
      <c r="F278" s="1820"/>
      <c r="I278" s="490"/>
    </row>
    <row r="279" spans="1:9">
      <c r="D279" s="1820"/>
      <c r="E279" s="1820"/>
      <c r="F279" s="1820"/>
      <c r="I279" s="490"/>
    </row>
    <row r="280" spans="1:9">
      <c r="D280" s="1820"/>
      <c r="E280" s="1820"/>
      <c r="F280" s="1820"/>
      <c r="I280" s="490"/>
    </row>
    <row r="281" spans="1:9">
      <c r="D281" s="492"/>
      <c r="E281" s="446"/>
      <c r="F281" s="446"/>
      <c r="I281" s="490"/>
    </row>
    <row r="282" spans="1:9">
      <c r="A282" s="1823" t="s">
        <v>1046</v>
      </c>
      <c r="B282" s="1823"/>
      <c r="C282" s="1823"/>
      <c r="D282" s="1823"/>
      <c r="E282" s="1823"/>
      <c r="F282" s="1823"/>
      <c r="G282" s="1823"/>
      <c r="H282" s="1023"/>
      <c r="I282" s="1147"/>
    </row>
    <row r="283" spans="1:9">
      <c r="D283" s="492"/>
      <c r="E283" s="446"/>
      <c r="F283" s="446"/>
      <c r="I283" s="490"/>
    </row>
    <row r="284" spans="1:9">
      <c r="C284" s="482"/>
      <c r="D284" s="1822" t="s">
        <v>1121</v>
      </c>
      <c r="E284" s="1822"/>
      <c r="F284" s="1822"/>
      <c r="I284" s="490"/>
    </row>
    <row r="285" spans="1:9">
      <c r="C285" s="482"/>
      <c r="D285" s="1822"/>
      <c r="E285" s="1822"/>
      <c r="F285" s="1822"/>
      <c r="I285" s="490"/>
    </row>
    <row r="286" spans="1:9">
      <c r="A286" s="483"/>
      <c r="B286" s="483"/>
      <c r="C286" s="483"/>
      <c r="D286" s="404"/>
      <c r="I286" s="490"/>
    </row>
    <row r="287" spans="1:9">
      <c r="C287" s="483"/>
      <c r="D287" s="1829" t="s">
        <v>208</v>
      </c>
      <c r="E287" s="1829"/>
      <c r="F287" s="1829"/>
      <c r="I287" s="490"/>
    </row>
    <row r="288" spans="1:9" ht="15.75" customHeight="1">
      <c r="A288" s="484"/>
      <c r="B288" s="484"/>
      <c r="D288" s="1832" t="s">
        <v>1122</v>
      </c>
      <c r="E288" s="1832"/>
      <c r="F288" s="1832"/>
      <c r="I288" s="490"/>
    </row>
    <row r="289" spans="1:9">
      <c r="E289" s="446"/>
      <c r="F289" s="446"/>
      <c r="I289" s="490"/>
    </row>
    <row r="290" spans="1:9" ht="14.25">
      <c r="A290" s="484"/>
      <c r="B290" s="485" t="s">
        <v>2761</v>
      </c>
      <c r="D290" s="1820" t="s">
        <v>1123</v>
      </c>
      <c r="E290" s="1820"/>
      <c r="F290" s="1820"/>
      <c r="I290" s="490"/>
    </row>
    <row r="291" spans="1:9" ht="14.25">
      <c r="A291" s="484"/>
      <c r="B291" s="484"/>
      <c r="D291" s="1820"/>
      <c r="E291" s="1820"/>
      <c r="F291" s="1820"/>
      <c r="I291" s="490"/>
    </row>
    <row r="292" spans="1:9">
      <c r="D292" s="446"/>
      <c r="E292" s="446"/>
      <c r="F292" s="446"/>
      <c r="I292" s="490"/>
    </row>
    <row r="293" spans="1:9" ht="14.25">
      <c r="A293" s="484"/>
      <c r="B293" s="485" t="s">
        <v>2761</v>
      </c>
      <c r="D293" s="1820" t="s">
        <v>1124</v>
      </c>
      <c r="E293" s="1820"/>
      <c r="F293" s="1820"/>
      <c r="I293" s="490"/>
    </row>
    <row r="294" spans="1:9" ht="14.25">
      <c r="A294" s="484"/>
      <c r="B294" s="484"/>
      <c r="D294" s="1820"/>
      <c r="E294" s="1820"/>
      <c r="F294" s="1820"/>
      <c r="I294" s="490"/>
    </row>
    <row r="295" spans="1:9" ht="14.25">
      <c r="A295" s="484"/>
      <c r="B295" s="484"/>
      <c r="D295" s="1820"/>
      <c r="E295" s="1820"/>
      <c r="F295" s="1820"/>
      <c r="I295" s="490"/>
    </row>
    <row r="296" spans="1:9">
      <c r="D296" s="446"/>
      <c r="E296" s="446"/>
      <c r="F296" s="446"/>
      <c r="I296" s="490"/>
    </row>
    <row r="297" spans="1:9" ht="14.25">
      <c r="A297" s="484"/>
      <c r="B297" s="485" t="s">
        <v>2761</v>
      </c>
      <c r="D297" s="1820" t="s">
        <v>1125</v>
      </c>
      <c r="E297" s="1820"/>
      <c r="F297" s="1820"/>
      <c r="I297" s="490"/>
    </row>
    <row r="298" spans="1:9" ht="14.25">
      <c r="A298" s="484"/>
      <c r="B298" s="484"/>
      <c r="D298" s="1820"/>
      <c r="E298" s="1820"/>
      <c r="F298" s="1820"/>
      <c r="I298" s="490"/>
    </row>
    <row r="299" spans="1:9">
      <c r="A299" s="490"/>
      <c r="B299" s="490"/>
      <c r="E299" s="446"/>
      <c r="F299" s="446"/>
      <c r="I299" s="490"/>
    </row>
    <row r="300" spans="1:9">
      <c r="A300" s="1823" t="s">
        <v>1047</v>
      </c>
      <c r="B300" s="1823"/>
      <c r="C300" s="1823"/>
      <c r="D300" s="1823"/>
      <c r="E300" s="1823"/>
      <c r="F300" s="1823"/>
      <c r="G300" s="1823"/>
      <c r="H300" s="1023"/>
      <c r="I300" s="1147"/>
    </row>
    <row r="301" spans="1:9">
      <c r="A301" s="490"/>
      <c r="B301" s="490"/>
      <c r="D301" s="446"/>
      <c r="E301" s="446"/>
      <c r="F301" s="446"/>
      <c r="I301" s="490"/>
    </row>
    <row r="302" spans="1:9">
      <c r="C302" s="490"/>
      <c r="D302" s="1829" t="s">
        <v>680</v>
      </c>
      <c r="E302" s="1829"/>
      <c r="F302" s="1829"/>
      <c r="I302" s="490"/>
    </row>
    <row r="303" spans="1:9">
      <c r="C303" s="490"/>
      <c r="D303" s="1821" t="s">
        <v>1126</v>
      </c>
      <c r="E303" s="1821"/>
      <c r="F303" s="1821"/>
      <c r="I303" s="490"/>
    </row>
    <row r="304" spans="1:9">
      <c r="C304" s="490"/>
      <c r="D304" s="493"/>
      <c r="I304" s="490"/>
    </row>
    <row r="305" spans="1:9">
      <c r="B305" s="485" t="s">
        <v>2761</v>
      </c>
      <c r="D305" s="1821" t="s">
        <v>1127</v>
      </c>
      <c r="E305" s="1821"/>
      <c r="F305" s="1821"/>
      <c r="I305" s="490"/>
    </row>
    <row r="306" spans="1:9" ht="14.25">
      <c r="A306" s="484"/>
      <c r="B306" s="484"/>
      <c r="D306" s="494"/>
      <c r="E306" s="495"/>
      <c r="F306" s="495"/>
      <c r="I306" s="490"/>
    </row>
    <row r="307" spans="1:9" ht="13.7" customHeight="1">
      <c r="B307" s="485" t="s">
        <v>2761</v>
      </c>
      <c r="D307" s="1844" t="s">
        <v>1217</v>
      </c>
      <c r="E307" s="1844"/>
      <c r="F307" s="1844"/>
      <c r="I307" s="490"/>
    </row>
    <row r="308" spans="1:9" ht="14.25">
      <c r="A308" s="484"/>
      <c r="B308" s="484"/>
      <c r="D308" s="1844"/>
      <c r="E308" s="1844"/>
      <c r="F308" s="1844"/>
      <c r="I308" s="490"/>
    </row>
    <row r="309" spans="1:9" ht="14.25">
      <c r="A309" s="484"/>
      <c r="B309" s="484"/>
      <c r="D309" s="1844"/>
      <c r="E309" s="1844"/>
      <c r="F309" s="1844"/>
      <c r="I309" s="490"/>
    </row>
    <row r="310" spans="1:9" ht="14.25">
      <c r="A310" s="484"/>
      <c r="B310" s="484"/>
      <c r="D310" s="1844"/>
      <c r="E310" s="1844"/>
      <c r="F310" s="1844"/>
      <c r="I310" s="490"/>
    </row>
    <row r="311" spans="1:9" ht="14.25">
      <c r="A311" s="484"/>
      <c r="B311" s="484"/>
      <c r="D311" s="1844"/>
      <c r="E311" s="1844"/>
      <c r="F311" s="1844"/>
      <c r="I311" s="490"/>
    </row>
    <row r="312" spans="1:9" ht="14.25">
      <c r="A312" s="484"/>
      <c r="B312" s="484"/>
      <c r="D312" s="494"/>
      <c r="E312" s="495"/>
      <c r="F312" s="495"/>
      <c r="I312" s="490"/>
    </row>
    <row r="313" spans="1:9" ht="13.7" customHeight="1">
      <c r="B313" s="485" t="s">
        <v>2761</v>
      </c>
      <c r="D313" s="1844" t="s">
        <v>1128</v>
      </c>
      <c r="E313" s="1844"/>
      <c r="F313" s="1844"/>
      <c r="I313" s="490"/>
    </row>
    <row r="314" spans="1:9">
      <c r="D314" s="1844"/>
      <c r="E314" s="1844"/>
      <c r="F314" s="1844"/>
      <c r="I314" s="490"/>
    </row>
    <row r="315" spans="1:9" ht="14.25">
      <c r="A315" s="484"/>
      <c r="B315" s="484"/>
      <c r="D315" s="494"/>
      <c r="E315" s="495"/>
      <c r="F315" s="495"/>
      <c r="I315" s="490"/>
    </row>
    <row r="316" spans="1:9">
      <c r="B316" s="485" t="s">
        <v>2761</v>
      </c>
      <c r="D316" s="1821" t="s">
        <v>1129</v>
      </c>
      <c r="E316" s="1821"/>
      <c r="F316" s="1821"/>
      <c r="I316" s="490"/>
    </row>
    <row r="317" spans="1:9">
      <c r="E317" s="446"/>
      <c r="F317" s="446"/>
      <c r="I317" s="490"/>
    </row>
    <row r="318" spans="1:9" ht="14.25">
      <c r="A318" s="484"/>
      <c r="B318" s="485" t="s">
        <v>2761</v>
      </c>
      <c r="D318" s="1820" t="s">
        <v>2195</v>
      </c>
      <c r="E318" s="1820"/>
      <c r="F318" s="1820"/>
      <c r="I318" s="490"/>
    </row>
    <row r="319" spans="1:9" ht="14.25">
      <c r="A319" s="484"/>
      <c r="B319" s="484"/>
      <c r="D319" s="1820"/>
      <c r="E319" s="1820"/>
      <c r="F319" s="1820"/>
      <c r="I319" s="490"/>
    </row>
    <row r="320" spans="1:9" ht="14.25">
      <c r="A320" s="484"/>
      <c r="B320" s="484"/>
      <c r="D320" s="1820"/>
      <c r="E320" s="1820"/>
      <c r="F320" s="1820"/>
      <c r="I320" s="490"/>
    </row>
    <row r="321" spans="1:9" ht="14.25">
      <c r="A321" s="484"/>
      <c r="B321" s="484"/>
      <c r="D321" s="1820"/>
      <c r="E321" s="1820"/>
      <c r="F321" s="1820"/>
      <c r="I321" s="490"/>
    </row>
    <row r="322" spans="1:9" ht="14.25">
      <c r="A322" s="484"/>
      <c r="B322" s="484"/>
      <c r="D322" s="1820"/>
      <c r="E322" s="1820"/>
      <c r="F322" s="1820"/>
      <c r="I322" s="490"/>
    </row>
    <row r="323" spans="1:9" ht="14.25">
      <c r="A323" s="484"/>
      <c r="B323" s="484"/>
      <c r="D323" s="1820"/>
      <c r="E323" s="1820"/>
      <c r="F323" s="1820"/>
      <c r="I323" s="490"/>
    </row>
    <row r="324" spans="1:9" ht="14.25">
      <c r="A324" s="484"/>
      <c r="B324" s="484"/>
      <c r="D324" s="1820"/>
      <c r="E324" s="1820"/>
      <c r="F324" s="1820"/>
      <c r="I324" s="490"/>
    </row>
    <row r="325" spans="1:9" ht="14.25">
      <c r="A325" s="484"/>
      <c r="B325" s="484"/>
      <c r="D325" s="1820"/>
      <c r="E325" s="1820"/>
      <c r="F325" s="1820"/>
      <c r="I325" s="490"/>
    </row>
    <row r="326" spans="1:9" ht="14.25">
      <c r="A326" s="484"/>
      <c r="B326" s="484"/>
      <c r="D326" s="1820"/>
      <c r="E326" s="1820"/>
      <c r="F326" s="1820"/>
      <c r="I326" s="490"/>
    </row>
    <row r="327" spans="1:9" ht="14.25">
      <c r="A327" s="484"/>
      <c r="B327" s="484"/>
      <c r="D327" s="1820"/>
      <c r="E327" s="1820"/>
      <c r="F327" s="1820"/>
      <c r="I327" s="490"/>
    </row>
    <row r="328" spans="1:9" ht="14.25">
      <c r="A328" s="484"/>
      <c r="B328" s="484"/>
      <c r="D328" s="1820"/>
      <c r="E328" s="1820"/>
      <c r="F328" s="1820"/>
      <c r="I328" s="490"/>
    </row>
    <row r="329" spans="1:9" ht="14.25">
      <c r="A329" s="484"/>
      <c r="B329" s="484"/>
      <c r="D329" s="1820"/>
      <c r="E329" s="1820"/>
      <c r="F329" s="1820"/>
      <c r="I329" s="490"/>
    </row>
    <row r="330" spans="1:9" ht="14.25">
      <c r="A330" s="484"/>
      <c r="B330" s="484"/>
      <c r="D330" s="1820"/>
      <c r="E330" s="1820"/>
      <c r="F330" s="1820"/>
      <c r="I330" s="490"/>
    </row>
    <row r="331" spans="1:9" ht="14.25">
      <c r="A331" s="484"/>
      <c r="B331" s="484"/>
      <c r="D331" s="1820"/>
      <c r="E331" s="1820"/>
      <c r="F331" s="1820"/>
      <c r="I331" s="490"/>
    </row>
    <row r="332" spans="1:9" ht="14.25">
      <c r="A332" s="484"/>
      <c r="B332" s="484"/>
      <c r="D332" s="1820"/>
      <c r="E332" s="1820"/>
      <c r="F332" s="1820"/>
      <c r="I332" s="490"/>
    </row>
    <row r="333" spans="1:9">
      <c r="D333" s="446"/>
      <c r="E333" s="446"/>
      <c r="F333" s="446"/>
      <c r="I333" s="490"/>
    </row>
    <row r="334" spans="1:9" ht="14.25">
      <c r="A334" s="484"/>
      <c r="B334" s="485" t="s">
        <v>2761</v>
      </c>
      <c r="D334" s="1820" t="s">
        <v>1130</v>
      </c>
      <c r="E334" s="1820"/>
      <c r="F334" s="1820"/>
      <c r="I334" s="490"/>
    </row>
    <row r="335" spans="1:9">
      <c r="D335" s="1820"/>
      <c r="E335" s="1820"/>
      <c r="F335" s="1820"/>
      <c r="I335" s="490"/>
    </row>
    <row r="336" spans="1:9">
      <c r="D336" s="1820"/>
      <c r="E336" s="1820"/>
      <c r="F336" s="1820"/>
      <c r="I336" s="490"/>
    </row>
    <row r="337" spans="1:9">
      <c r="D337" s="1820"/>
      <c r="E337" s="1820"/>
      <c r="F337" s="1820"/>
      <c r="I337" s="490"/>
    </row>
    <row r="338" spans="1:9">
      <c r="D338" s="1820"/>
      <c r="E338" s="1820"/>
      <c r="F338" s="1820"/>
      <c r="I338" s="490"/>
    </row>
    <row r="339" spans="1:9">
      <c r="D339" s="1820"/>
      <c r="E339" s="1820"/>
      <c r="F339" s="1820"/>
      <c r="I339" s="490"/>
    </row>
    <row r="340" spans="1:9">
      <c r="D340" s="1820"/>
      <c r="E340" s="1820"/>
      <c r="F340" s="1820"/>
      <c r="I340" s="490"/>
    </row>
    <row r="341" spans="1:9">
      <c r="D341" s="1820"/>
      <c r="E341" s="1820"/>
      <c r="F341" s="1820"/>
      <c r="I341" s="490"/>
    </row>
    <row r="342" spans="1:9">
      <c r="D342" s="1820"/>
      <c r="E342" s="1820"/>
      <c r="F342" s="1820"/>
      <c r="I342" s="490"/>
    </row>
    <row r="343" spans="1:9">
      <c r="D343" s="446"/>
      <c r="E343" s="446"/>
      <c r="F343" s="446"/>
      <c r="I343" s="490"/>
    </row>
    <row r="344" spans="1:9" ht="14.25" customHeight="1">
      <c r="A344" s="484"/>
      <c r="B344" s="485" t="s">
        <v>2761</v>
      </c>
      <c r="D344" s="1820" t="s">
        <v>1873</v>
      </c>
      <c r="E344" s="1820"/>
      <c r="F344" s="1820"/>
      <c r="I344" s="490"/>
    </row>
    <row r="345" spans="1:9">
      <c r="D345" s="1820"/>
      <c r="E345" s="1820"/>
      <c r="F345" s="1820"/>
      <c r="I345" s="490"/>
    </row>
    <row r="346" spans="1:9">
      <c r="D346" s="1820"/>
      <c r="E346" s="1820"/>
      <c r="F346" s="1820"/>
      <c r="I346" s="490"/>
    </row>
    <row r="347" spans="1:9">
      <c r="D347" s="1820"/>
      <c r="E347" s="1820"/>
      <c r="F347" s="1820"/>
      <c r="I347" s="490"/>
    </row>
    <row r="348" spans="1:9">
      <c r="D348" s="386" t="s">
        <v>1872</v>
      </c>
      <c r="E348" s="385"/>
      <c r="F348" s="385"/>
      <c r="I348" s="490"/>
    </row>
    <row r="349" spans="1:9">
      <c r="D349" s="385"/>
      <c r="E349" s="96" t="s">
        <v>1869</v>
      </c>
      <c r="G349" s="96"/>
      <c r="I349" s="490"/>
    </row>
    <row r="350" spans="1:9">
      <c r="D350" s="445"/>
      <c r="E350" s="445"/>
      <c r="F350" s="445"/>
      <c r="I350" s="490"/>
    </row>
    <row r="351" spans="1:9" ht="13.5" thickBot="1">
      <c r="A351" s="1017"/>
      <c r="B351" s="1017"/>
      <c r="C351" s="1017"/>
      <c r="D351" s="1853" t="s">
        <v>977</v>
      </c>
      <c r="E351" s="1853"/>
      <c r="F351" s="1853"/>
      <c r="G351" s="1022"/>
      <c r="H351" s="1022"/>
      <c r="I351" s="1150"/>
    </row>
    <row r="352" spans="1:9" ht="13.5" thickTop="1">
      <c r="D352" s="1852" t="s">
        <v>2196</v>
      </c>
      <c r="E352" s="1852"/>
      <c r="F352" s="1852"/>
      <c r="I352" s="490"/>
    </row>
    <row r="353" spans="1:9">
      <c r="D353" s="446"/>
      <c r="E353" s="446"/>
      <c r="F353" s="446"/>
      <c r="I353" s="490"/>
    </row>
    <row r="354" spans="1:9">
      <c r="A354" s="476"/>
      <c r="B354" s="476"/>
      <c r="C354" s="476"/>
      <c r="D354" s="447"/>
      <c r="E354" s="447"/>
      <c r="F354" s="446"/>
      <c r="I354" s="490"/>
    </row>
    <row r="355" spans="1:9" ht="14.25">
      <c r="A355" s="484"/>
      <c r="B355" s="485" t="s">
        <v>2761</v>
      </c>
      <c r="C355" s="487"/>
      <c r="D355" s="1821" t="s">
        <v>1871</v>
      </c>
      <c r="E355" s="1821"/>
      <c r="F355" s="1821"/>
      <c r="I355" s="490"/>
    </row>
    <row r="356" spans="1:9" ht="12.75" customHeight="1">
      <c r="D356" s="1032"/>
      <c r="E356" s="96" t="s">
        <v>1870</v>
      </c>
      <c r="F356" s="1032"/>
      <c r="I356" s="490"/>
    </row>
    <row r="357" spans="1:9">
      <c r="D357" s="1820" t="s">
        <v>1237</v>
      </c>
      <c r="E357" s="1820"/>
      <c r="F357" s="1820"/>
      <c r="I357" s="490"/>
    </row>
    <row r="358" spans="1:9">
      <c r="D358" s="1820"/>
      <c r="E358" s="1820"/>
      <c r="F358" s="1820"/>
      <c r="I358" s="490"/>
    </row>
    <row r="359" spans="1:9">
      <c r="D359" s="1820"/>
      <c r="E359" s="1820"/>
      <c r="F359" s="1820"/>
      <c r="I359" s="490"/>
    </row>
    <row r="360" spans="1:9" ht="14.25">
      <c r="A360" s="484"/>
      <c r="B360" s="485" t="s">
        <v>2761</v>
      </c>
      <c r="C360" s="476"/>
      <c r="D360" s="1834" t="s">
        <v>2013</v>
      </c>
      <c r="E360" s="1834"/>
      <c r="F360" s="1834"/>
      <c r="I360" s="480"/>
    </row>
    <row r="361" spans="1:9">
      <c r="A361" s="476"/>
      <c r="B361" s="476"/>
      <c r="C361" s="476"/>
      <c r="D361" s="447"/>
      <c r="E361" s="447"/>
      <c r="F361" s="446"/>
      <c r="I361" s="490"/>
    </row>
    <row r="362" spans="1:9">
      <c r="A362" s="476"/>
      <c r="B362" s="485" t="s">
        <v>2761</v>
      </c>
      <c r="C362" s="476"/>
      <c r="D362" s="1801" t="s">
        <v>2014</v>
      </c>
      <c r="E362" s="1801"/>
      <c r="F362" s="1801"/>
      <c r="I362" s="490"/>
    </row>
    <row r="363" spans="1:9">
      <c r="A363" s="476"/>
      <c r="B363" s="476"/>
      <c r="C363" s="476"/>
      <c r="D363" s="1801"/>
      <c r="E363" s="1801"/>
      <c r="F363" s="1801"/>
      <c r="I363" s="490"/>
    </row>
    <row r="364" spans="1:9">
      <c r="A364" s="476"/>
      <c r="B364" s="476"/>
      <c r="C364" s="476"/>
      <c r="D364" s="1801"/>
      <c r="E364" s="1801"/>
      <c r="F364" s="1801"/>
      <c r="I364" s="490"/>
    </row>
    <row r="365" spans="1:9">
      <c r="A365" s="476"/>
      <c r="B365" s="476"/>
      <c r="C365" s="476"/>
      <c r="D365" s="1801"/>
      <c r="E365" s="1801"/>
      <c r="F365" s="1801"/>
      <c r="I365" s="490"/>
    </row>
    <row r="366" spans="1:9">
      <c r="A366" s="476"/>
      <c r="B366" s="476"/>
      <c r="C366" s="476"/>
      <c r="D366" s="1801"/>
      <c r="E366" s="1801"/>
      <c r="F366" s="1801"/>
      <c r="I366" s="490"/>
    </row>
    <row r="367" spans="1:9">
      <c r="A367" s="476"/>
      <c r="B367" s="476"/>
      <c r="C367" s="476"/>
      <c r="D367" s="1801"/>
      <c r="E367" s="1801"/>
      <c r="F367" s="1801"/>
      <c r="I367" s="490"/>
    </row>
    <row r="368" spans="1:9">
      <c r="A368" s="476"/>
      <c r="B368" s="476"/>
      <c r="C368" s="476"/>
      <c r="D368" s="1801"/>
      <c r="E368" s="1801"/>
      <c r="F368" s="1801"/>
      <c r="I368" s="490"/>
    </row>
    <row r="369" spans="1:9">
      <c r="A369" s="476"/>
      <c r="B369" s="476"/>
      <c r="C369" s="476"/>
      <c r="D369" s="1801"/>
      <c r="E369" s="1801"/>
      <c r="F369" s="1801"/>
      <c r="I369" s="490"/>
    </row>
    <row r="370" spans="1:9">
      <c r="A370" s="476"/>
      <c r="B370" s="476"/>
      <c r="C370" s="476"/>
      <c r="D370" s="1801"/>
      <c r="E370" s="1801"/>
      <c r="F370" s="1801"/>
      <c r="I370" s="490"/>
    </row>
    <row r="371" spans="1:9">
      <c r="A371" s="476"/>
      <c r="B371" s="476"/>
      <c r="C371" s="476"/>
      <c r="D371" s="1801"/>
      <c r="E371" s="1801"/>
      <c r="F371" s="1801"/>
      <c r="I371" s="490"/>
    </row>
    <row r="372" spans="1:9">
      <c r="A372" s="476"/>
      <c r="B372" s="476"/>
      <c r="C372" s="476"/>
      <c r="D372" s="1801"/>
      <c r="E372" s="1801"/>
      <c r="F372" s="1801"/>
      <c r="I372" s="490"/>
    </row>
    <row r="373" spans="1:9">
      <c r="A373" s="476"/>
      <c r="B373" s="476"/>
      <c r="C373" s="476"/>
      <c r="D373" s="1801"/>
      <c r="E373" s="1801"/>
      <c r="F373" s="1801"/>
      <c r="I373" s="490"/>
    </row>
    <row r="374" spans="1:9">
      <c r="A374" s="476"/>
      <c r="B374" s="476"/>
      <c r="C374" s="476"/>
      <c r="D374" s="451"/>
      <c r="E374" s="451"/>
      <c r="F374" s="451"/>
      <c r="I374" s="490"/>
    </row>
    <row r="375" spans="1:9" ht="12.4" customHeight="1">
      <c r="A375" s="476"/>
      <c r="B375" s="485" t="s">
        <v>2761</v>
      </c>
      <c r="C375" s="476"/>
      <c r="D375" s="1816" t="s">
        <v>1219</v>
      </c>
      <c r="E375" s="1816"/>
      <c r="F375" s="1816"/>
      <c r="I375" s="490"/>
    </row>
    <row r="376" spans="1:9">
      <c r="A376" s="476"/>
      <c r="B376" s="476"/>
      <c r="C376" s="476"/>
      <c r="D376" s="1816"/>
      <c r="E376" s="1816"/>
      <c r="F376" s="1816"/>
      <c r="I376" s="490"/>
    </row>
    <row r="377" spans="1:9">
      <c r="A377" s="476"/>
      <c r="B377" s="476"/>
      <c r="C377" s="476"/>
      <c r="D377" s="1816"/>
      <c r="E377" s="1816"/>
      <c r="F377" s="1816"/>
      <c r="I377" s="490"/>
    </row>
    <row r="378" spans="1:9">
      <c r="A378" s="476"/>
      <c r="B378" s="476"/>
      <c r="C378" s="476"/>
      <c r="D378" s="1816"/>
      <c r="E378" s="1816"/>
      <c r="F378" s="1816"/>
      <c r="I378" s="490"/>
    </row>
    <row r="379" spans="1:9">
      <c r="A379" s="476"/>
      <c r="B379" s="476"/>
      <c r="C379" s="476"/>
      <c r="D379" s="524"/>
      <c r="E379" s="524"/>
      <c r="F379" s="524"/>
      <c r="I379" s="490"/>
    </row>
    <row r="380" spans="1:9">
      <c r="A380" s="476"/>
      <c r="B380" s="485" t="s">
        <v>2761</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ht="14.25">
      <c r="A387" s="484"/>
      <c r="B387" s="485" t="s">
        <v>2761</v>
      </c>
      <c r="C387" s="476"/>
      <c r="D387" s="1801" t="s">
        <v>1131</v>
      </c>
      <c r="E387" s="1801"/>
      <c r="F387" s="1801"/>
      <c r="I387" s="490"/>
    </row>
    <row r="388" spans="1:9">
      <c r="A388" s="476"/>
      <c r="B388" s="476"/>
      <c r="C388" s="476"/>
      <c r="D388" s="1801"/>
      <c r="E388" s="1801"/>
      <c r="F388" s="1801"/>
      <c r="I388" s="490"/>
    </row>
    <row r="389" spans="1:9">
      <c r="A389" s="476"/>
      <c r="B389" s="476"/>
      <c r="C389" s="476"/>
      <c r="D389" s="1801"/>
      <c r="E389" s="1801"/>
      <c r="F389" s="1801"/>
      <c r="I389" s="490"/>
    </row>
    <row r="390" spans="1:9">
      <c r="A390" s="476"/>
      <c r="B390" s="476"/>
      <c r="C390" s="476"/>
      <c r="D390" s="1801"/>
      <c r="E390" s="1801"/>
      <c r="F390" s="1801"/>
      <c r="I390" s="490"/>
    </row>
    <row r="391" spans="1:9">
      <c r="A391" s="476"/>
      <c r="B391" s="476"/>
      <c r="C391" s="476"/>
      <c r="D391" s="447"/>
      <c r="E391" s="447"/>
      <c r="F391" s="446"/>
      <c r="I391" s="490"/>
    </row>
    <row r="392" spans="1:9">
      <c r="A392" s="476"/>
      <c r="B392" s="476"/>
      <c r="C392" s="476"/>
      <c r="D392" s="1801" t="s">
        <v>1132</v>
      </c>
      <c r="E392" s="1801"/>
      <c r="F392" s="1801"/>
      <c r="I392" s="490"/>
    </row>
    <row r="393" spans="1:9">
      <c r="A393" s="476"/>
      <c r="B393" s="476"/>
      <c r="C393" s="476"/>
      <c r="D393" s="1801"/>
      <c r="E393" s="1801"/>
      <c r="F393" s="1801"/>
      <c r="I393" s="490"/>
    </row>
    <row r="394" spans="1:9">
      <c r="A394" s="476"/>
      <c r="B394" s="476"/>
      <c r="C394" s="476"/>
      <c r="D394" s="1801"/>
      <c r="E394" s="1801"/>
      <c r="F394" s="1801"/>
      <c r="I394" s="490"/>
    </row>
    <row r="395" spans="1:9">
      <c r="A395" s="476"/>
      <c r="B395" s="476"/>
      <c r="C395" s="476"/>
      <c r="D395" s="1801"/>
      <c r="E395" s="1801"/>
      <c r="F395" s="1801"/>
      <c r="I395" s="490"/>
    </row>
    <row r="396" spans="1:9" ht="18" customHeight="1">
      <c r="A396" s="476"/>
      <c r="B396" s="476"/>
      <c r="C396" s="476"/>
      <c r="D396" s="1801"/>
      <c r="E396" s="1801"/>
      <c r="F396" s="1801"/>
      <c r="I396" s="490"/>
    </row>
    <row r="397" spans="1:9">
      <c r="A397" s="476"/>
      <c r="B397" s="476"/>
      <c r="C397" s="476"/>
      <c r="D397" s="1801"/>
      <c r="E397" s="1801"/>
      <c r="F397" s="1801"/>
      <c r="I397" s="490"/>
    </row>
    <row r="398" spans="1:9">
      <c r="A398" s="476"/>
      <c r="B398" s="476"/>
      <c r="C398" s="476"/>
      <c r="D398" s="1801"/>
      <c r="E398" s="1801"/>
      <c r="F398" s="1801"/>
      <c r="I398" s="490"/>
    </row>
    <row r="399" spans="1:9">
      <c r="A399" s="476"/>
      <c r="B399" s="476"/>
      <c r="C399" s="476"/>
      <c r="D399" s="1801"/>
      <c r="E399" s="1801"/>
      <c r="F399" s="1801"/>
      <c r="I399" s="490"/>
    </row>
    <row r="400" spans="1:9" ht="8.25" customHeight="1">
      <c r="A400" s="476"/>
      <c r="B400" s="476"/>
      <c r="C400" s="476"/>
      <c r="D400" s="1801"/>
      <c r="E400" s="1801"/>
      <c r="F400" s="1801"/>
      <c r="I400" s="490"/>
    </row>
    <row r="401" spans="1:9" ht="13.7" customHeight="1">
      <c r="A401" s="476"/>
      <c r="B401" s="476"/>
      <c r="C401" s="476"/>
      <c r="D401" s="1801" t="s">
        <v>1133</v>
      </c>
      <c r="E401" s="1801"/>
      <c r="F401" s="1801"/>
      <c r="I401" s="490"/>
    </row>
    <row r="402" spans="1:9">
      <c r="A402" s="476"/>
      <c r="B402" s="476"/>
      <c r="C402" s="476"/>
      <c r="D402" s="1801"/>
      <c r="E402" s="1801"/>
      <c r="F402" s="1801"/>
      <c r="I402" s="490"/>
    </row>
    <row r="403" spans="1:9">
      <c r="A403" s="476"/>
      <c r="B403" s="476"/>
      <c r="C403" s="476"/>
      <c r="D403" s="1801"/>
      <c r="E403" s="1801"/>
      <c r="F403" s="1801"/>
      <c r="I403" s="490"/>
    </row>
    <row r="404" spans="1:9">
      <c r="A404" s="476"/>
      <c r="B404" s="476"/>
      <c r="C404" s="476"/>
      <c r="D404" s="1801"/>
      <c r="E404" s="1801"/>
      <c r="F404" s="1801"/>
      <c r="I404" s="490"/>
    </row>
    <row r="405" spans="1:9">
      <c r="A405" s="476"/>
      <c r="B405" s="476"/>
      <c r="C405" s="476"/>
      <c r="D405" s="1801"/>
      <c r="E405" s="1801"/>
      <c r="F405" s="1801"/>
      <c r="I405" s="490"/>
    </row>
    <row r="406" spans="1:9">
      <c r="A406" s="476"/>
      <c r="B406" s="476"/>
      <c r="C406" s="476"/>
      <c r="D406" s="1801"/>
      <c r="E406" s="1801"/>
      <c r="F406" s="1801"/>
      <c r="I406" s="490"/>
    </row>
    <row r="407" spans="1:9">
      <c r="A407" s="476"/>
      <c r="B407" s="476"/>
      <c r="C407" s="476"/>
      <c r="D407" s="1801"/>
      <c r="E407" s="1801"/>
      <c r="F407" s="1801"/>
      <c r="I407" s="490"/>
    </row>
    <row r="408" spans="1:9">
      <c r="A408" s="476"/>
      <c r="B408" s="476"/>
      <c r="C408" s="476"/>
      <c r="D408" s="1801"/>
      <c r="E408" s="1801"/>
      <c r="F408" s="1801"/>
      <c r="I408" s="490"/>
    </row>
    <row r="409" spans="1:9">
      <c r="A409" s="476"/>
      <c r="B409" s="476"/>
      <c r="C409" s="476"/>
      <c r="D409" s="1801"/>
      <c r="E409" s="1801"/>
      <c r="F409" s="1801"/>
      <c r="I409" s="490"/>
    </row>
    <row r="410" spans="1:9">
      <c r="A410" s="476"/>
      <c r="B410" s="476"/>
      <c r="C410" s="476"/>
      <c r="D410" s="1801"/>
      <c r="E410" s="1801"/>
      <c r="F410" s="1801"/>
      <c r="I410" s="490"/>
    </row>
    <row r="411" spans="1:9">
      <c r="A411" s="476"/>
      <c r="B411" s="476"/>
      <c r="C411" s="476"/>
      <c r="D411" s="1801"/>
      <c r="E411" s="1801"/>
      <c r="F411" s="1801"/>
      <c r="I411" s="490"/>
    </row>
    <row r="412" spans="1:9">
      <c r="A412" s="476"/>
      <c r="B412" s="476"/>
      <c r="C412" s="476"/>
      <c r="D412" s="1801"/>
      <c r="E412" s="1801"/>
      <c r="F412" s="1801"/>
      <c r="I412" s="490"/>
    </row>
    <row r="413" spans="1:9">
      <c r="A413" s="476"/>
      <c r="B413" s="476"/>
      <c r="C413" s="496"/>
      <c r="D413" s="1801"/>
      <c r="E413" s="1801"/>
      <c r="F413" s="1801"/>
      <c r="I413" s="490"/>
    </row>
    <row r="414" spans="1:9">
      <c r="A414" s="476"/>
      <c r="B414" s="476"/>
      <c r="C414" s="496"/>
      <c r="D414" s="1801"/>
      <c r="E414" s="1801"/>
      <c r="F414" s="1801"/>
      <c r="I414" s="490"/>
    </row>
    <row r="415" spans="1:9">
      <c r="A415" s="476"/>
      <c r="B415" s="476"/>
      <c r="C415" s="476"/>
      <c r="D415" s="1801"/>
      <c r="E415" s="1801"/>
      <c r="F415" s="1801"/>
      <c r="I415" s="490"/>
    </row>
    <row r="416" spans="1:9">
      <c r="A416" s="476"/>
      <c r="B416" s="476"/>
      <c r="C416" s="496"/>
      <c r="D416" s="1801"/>
      <c r="E416" s="1801"/>
      <c r="F416" s="1801"/>
      <c r="I416" s="490"/>
    </row>
    <row r="417" spans="1:9">
      <c r="A417" s="476"/>
      <c r="B417" s="476"/>
      <c r="C417" s="496"/>
      <c r="D417" s="1801"/>
      <c r="E417" s="1801"/>
      <c r="F417" s="1801"/>
      <c r="I417" s="490"/>
    </row>
    <row r="418" spans="1:9">
      <c r="A418" s="476"/>
      <c r="B418" s="476"/>
      <c r="C418" s="496"/>
      <c r="D418" s="1801"/>
      <c r="E418" s="1801"/>
      <c r="F418" s="1801"/>
      <c r="I418" s="490"/>
    </row>
    <row r="419" spans="1:9">
      <c r="A419" s="476"/>
      <c r="B419" s="476"/>
      <c r="C419" s="476"/>
      <c r="D419" s="447"/>
      <c r="E419" s="447"/>
      <c r="F419" s="446"/>
      <c r="I419" s="490"/>
    </row>
    <row r="420" spans="1:9">
      <c r="A420" s="476"/>
      <c r="B420" s="485" t="s">
        <v>2761</v>
      </c>
      <c r="C420" s="476"/>
      <c r="D420" s="1801" t="s">
        <v>1134</v>
      </c>
      <c r="E420" s="1801"/>
      <c r="F420" s="1801"/>
      <c r="I420" s="490"/>
    </row>
    <row r="421" spans="1:9">
      <c r="A421" s="476"/>
      <c r="B421" s="476"/>
      <c r="C421" s="476"/>
      <c r="D421" s="1801"/>
      <c r="E421" s="1801"/>
      <c r="F421" s="1801"/>
      <c r="I421" s="490"/>
    </row>
    <row r="422" spans="1:9">
      <c r="A422" s="476"/>
      <c r="B422" s="476"/>
      <c r="C422" s="476"/>
      <c r="D422" s="451"/>
      <c r="E422" s="451"/>
      <c r="F422" s="451"/>
      <c r="I422" s="490"/>
    </row>
    <row r="423" spans="1:9" ht="14.45" customHeight="1">
      <c r="A423" s="484"/>
      <c r="B423" s="485" t="s">
        <v>2761</v>
      </c>
      <c r="D423" s="1801" t="s">
        <v>1853</v>
      </c>
      <c r="E423" s="1801"/>
      <c r="F423" s="1801"/>
      <c r="I423" s="490"/>
    </row>
    <row r="424" spans="1:9" ht="14.45" customHeight="1">
      <c r="A424" s="484"/>
      <c r="D424" s="1801"/>
      <c r="E424" s="1801"/>
      <c r="F424" s="1801"/>
      <c r="I424" s="490"/>
    </row>
    <row r="425" spans="1:9" ht="14.45" customHeight="1">
      <c r="A425" s="484"/>
      <c r="D425" s="1801"/>
      <c r="E425" s="1801"/>
      <c r="F425" s="1801"/>
      <c r="I425" s="490"/>
    </row>
    <row r="426" spans="1:9" ht="14.45" customHeight="1">
      <c r="A426" s="484"/>
      <c r="D426" s="1801"/>
      <c r="E426" s="1801"/>
      <c r="F426" s="1801"/>
      <c r="I426" s="490"/>
    </row>
    <row r="427" spans="1:9" ht="14.45" customHeight="1">
      <c r="A427" s="484"/>
      <c r="D427" s="1801"/>
      <c r="E427" s="1801"/>
      <c r="F427" s="1801"/>
      <c r="I427" s="490"/>
    </row>
    <row r="428" spans="1:9" ht="14.45" customHeight="1">
      <c r="A428" s="484"/>
      <c r="D428" s="385"/>
      <c r="E428" s="385"/>
      <c r="F428" s="385"/>
      <c r="I428" s="490"/>
    </row>
    <row r="429" spans="1:9" ht="13.7" customHeight="1">
      <c r="A429" s="484"/>
      <c r="B429" s="485" t="s">
        <v>2761</v>
      </c>
      <c r="C429" s="476"/>
      <c r="D429" s="1801" t="s">
        <v>1238</v>
      </c>
      <c r="E429" s="1801"/>
      <c r="F429" s="1801"/>
      <c r="I429" s="490"/>
    </row>
    <row r="430" spans="1:9" ht="14.25">
      <c r="A430" s="497"/>
      <c r="B430" s="497"/>
      <c r="C430" s="476"/>
      <c r="D430" s="1801"/>
      <c r="E430" s="1801"/>
      <c r="F430" s="1801"/>
      <c r="I430" s="490"/>
    </row>
    <row r="431" spans="1:9" ht="14.25">
      <c r="A431" s="497"/>
      <c r="B431" s="497"/>
      <c r="C431" s="476"/>
      <c r="D431" s="1801"/>
      <c r="E431" s="1801"/>
      <c r="F431" s="1801"/>
      <c r="I431" s="490"/>
    </row>
    <row r="432" spans="1:9" ht="14.25">
      <c r="A432" s="497"/>
      <c r="B432" s="497"/>
      <c r="C432" s="476"/>
      <c r="D432" s="1801"/>
      <c r="E432" s="1801"/>
      <c r="F432" s="1801"/>
      <c r="I432" s="490"/>
    </row>
    <row r="433" spans="1:9" ht="15.75" customHeight="1">
      <c r="A433" s="497"/>
      <c r="B433" s="497"/>
      <c r="C433" s="476"/>
      <c r="D433" s="1826" t="s">
        <v>2605</v>
      </c>
      <c r="E433" s="1801"/>
      <c r="F433" s="1801"/>
      <c r="I433" s="490"/>
    </row>
    <row r="434" spans="1:9">
      <c r="D434" s="446"/>
      <c r="E434" s="446"/>
      <c r="F434" s="446"/>
      <c r="I434" s="490"/>
    </row>
    <row r="435" spans="1:9" ht="14.25">
      <c r="A435" s="484"/>
      <c r="B435" s="485" t="s">
        <v>2761</v>
      </c>
      <c r="C435" s="487"/>
      <c r="D435" s="1820" t="s">
        <v>2015</v>
      </c>
      <c r="E435" s="1820"/>
      <c r="F435" s="1820"/>
      <c r="I435" s="490"/>
    </row>
    <row r="436" spans="1:9" ht="14.25">
      <c r="A436" s="484"/>
      <c r="B436" s="484"/>
      <c r="D436" s="1820"/>
      <c r="E436" s="1820"/>
      <c r="F436" s="1820"/>
      <c r="I436" s="490"/>
    </row>
    <row r="437" spans="1:9">
      <c r="D437" s="1820"/>
      <c r="E437" s="1820"/>
      <c r="F437" s="1820"/>
      <c r="I437" s="490"/>
    </row>
    <row r="438" spans="1:9">
      <c r="D438" s="1820"/>
      <c r="E438" s="1820"/>
      <c r="F438" s="1820"/>
      <c r="I438" s="490"/>
    </row>
    <row r="439" spans="1:9">
      <c r="D439" s="1820"/>
      <c r="E439" s="1820"/>
      <c r="F439" s="1820"/>
      <c r="I439" s="490"/>
    </row>
    <row r="440" spans="1:9">
      <c r="D440" s="1820"/>
      <c r="E440" s="1820"/>
      <c r="F440" s="1820"/>
      <c r="I440" s="490"/>
    </row>
    <row r="441" spans="1:9">
      <c r="D441" s="1820"/>
      <c r="E441" s="1820"/>
      <c r="F441" s="1820"/>
      <c r="I441" s="490"/>
    </row>
    <row r="442" spans="1:9">
      <c r="D442" s="1820"/>
      <c r="E442" s="1820"/>
      <c r="F442" s="1820"/>
      <c r="I442" s="490"/>
    </row>
    <row r="443" spans="1:9">
      <c r="D443" s="1820"/>
      <c r="E443" s="1820"/>
      <c r="F443" s="1820"/>
      <c r="I443" s="490"/>
    </row>
    <row r="444" spans="1:9">
      <c r="D444" s="1820"/>
      <c r="E444" s="1820"/>
      <c r="F444" s="1820"/>
      <c r="I444" s="490"/>
    </row>
    <row r="445" spans="1:9">
      <c r="D445" s="1820"/>
      <c r="E445" s="1820"/>
      <c r="F445" s="1820"/>
      <c r="I445" s="490"/>
    </row>
    <row r="446" spans="1:9">
      <c r="D446" s="1820"/>
      <c r="E446" s="1820"/>
      <c r="F446" s="1820"/>
      <c r="I446" s="490"/>
    </row>
    <row r="447" spans="1:9">
      <c r="D447" s="1820"/>
      <c r="E447" s="1820"/>
      <c r="F447" s="1820"/>
      <c r="I447" s="490"/>
    </row>
    <row r="448" spans="1:9">
      <c r="A448" s="402"/>
      <c r="B448" s="402"/>
      <c r="C448" s="402"/>
      <c r="D448" s="1820"/>
      <c r="E448" s="1820"/>
      <c r="F448" s="1820"/>
      <c r="I448" s="490"/>
    </row>
    <row r="449" spans="1:9">
      <c r="A449" s="402"/>
      <c r="B449" s="402"/>
      <c r="C449" s="402"/>
      <c r="D449" s="1820"/>
      <c r="E449" s="1820"/>
      <c r="F449" s="1820"/>
      <c r="I449" s="490"/>
    </row>
    <row r="450" spans="1:9">
      <c r="A450" s="402"/>
      <c r="B450" s="402"/>
      <c r="C450" s="402"/>
      <c r="D450" s="1820"/>
      <c r="E450" s="1820"/>
      <c r="F450" s="1820"/>
      <c r="I450" s="490"/>
    </row>
    <row r="451" spans="1:9">
      <c r="A451" s="402"/>
      <c r="B451" s="402"/>
      <c r="C451" s="402"/>
      <c r="D451" s="1820"/>
      <c r="E451" s="1820"/>
      <c r="F451" s="1820"/>
      <c r="I451" s="490"/>
    </row>
    <row r="452" spans="1:9">
      <c r="A452" s="402"/>
      <c r="B452" s="402"/>
      <c r="C452" s="402"/>
      <c r="D452" s="1820"/>
      <c r="E452" s="1820"/>
      <c r="F452" s="1820"/>
      <c r="I452" s="490"/>
    </row>
    <row r="453" spans="1:9">
      <c r="A453" s="402"/>
      <c r="B453" s="402"/>
      <c r="C453" s="402"/>
      <c r="D453" s="1820"/>
      <c r="E453" s="1820"/>
      <c r="F453" s="1820"/>
      <c r="I453" s="490"/>
    </row>
    <row r="454" spans="1:9">
      <c r="A454" s="402"/>
      <c r="B454" s="402"/>
      <c r="C454" s="402"/>
      <c r="D454" s="1820"/>
      <c r="E454" s="1820"/>
      <c r="F454" s="1820"/>
      <c r="I454" s="490"/>
    </row>
    <row r="455" spans="1:9">
      <c r="A455" s="402"/>
      <c r="B455" s="402"/>
      <c r="C455" s="402"/>
      <c r="D455" s="1820"/>
      <c r="E455" s="1820"/>
      <c r="F455" s="1820"/>
      <c r="I455" s="490"/>
    </row>
    <row r="456" spans="1:9">
      <c r="A456" s="402"/>
      <c r="B456" s="402"/>
      <c r="C456" s="402"/>
      <c r="D456" s="1820"/>
      <c r="E456" s="1820"/>
      <c r="F456" s="1820"/>
      <c r="I456" s="490"/>
    </row>
    <row r="457" spans="1:9">
      <c r="A457" s="402"/>
      <c r="B457" s="402"/>
      <c r="C457" s="402"/>
      <c r="D457" s="1820"/>
      <c r="E457" s="1820"/>
      <c r="F457" s="1820"/>
      <c r="I457" s="490"/>
    </row>
    <row r="458" spans="1:9">
      <c r="A458" s="402"/>
      <c r="B458" s="402"/>
      <c r="C458" s="402"/>
      <c r="D458" s="1820"/>
      <c r="E458" s="1820"/>
      <c r="F458" s="1820"/>
      <c r="I458" s="490"/>
    </row>
    <row r="459" spans="1:9">
      <c r="A459" s="402"/>
      <c r="B459" s="402"/>
      <c r="C459" s="402"/>
      <c r="D459" s="1820"/>
      <c r="E459" s="1820"/>
      <c r="F459" s="1820"/>
      <c r="I459" s="490"/>
    </row>
    <row r="460" spans="1:9">
      <c r="A460" s="402"/>
      <c r="B460" s="402"/>
      <c r="C460" s="402"/>
      <c r="D460" s="1820"/>
      <c r="E460" s="1820"/>
      <c r="F460" s="1820"/>
      <c r="I460" s="490"/>
    </row>
    <row r="461" spans="1:9">
      <c r="A461" s="402"/>
      <c r="B461" s="402"/>
      <c r="C461" s="402"/>
      <c r="D461" s="1820"/>
      <c r="E461" s="1820"/>
      <c r="F461" s="1820"/>
      <c r="I461" s="490"/>
    </row>
    <row r="462" spans="1:9">
      <c r="A462" s="402"/>
      <c r="B462" s="402"/>
      <c r="C462" s="402"/>
      <c r="D462" s="1820"/>
      <c r="E462" s="1820"/>
      <c r="F462" s="1820"/>
      <c r="I462" s="490"/>
    </row>
    <row r="463" spans="1:9">
      <c r="A463" s="402"/>
      <c r="B463" s="402"/>
      <c r="C463" s="402"/>
      <c r="D463" s="1820"/>
      <c r="E463" s="1820"/>
      <c r="F463" s="1820"/>
      <c r="I463" s="490"/>
    </row>
    <row r="464" spans="1:9">
      <c r="D464" s="1820"/>
      <c r="E464" s="1820"/>
      <c r="F464" s="1820"/>
      <c r="I464" s="490"/>
    </row>
    <row r="465" spans="1:9" ht="40.700000000000003" customHeight="1">
      <c r="D465" s="1820"/>
      <c r="E465" s="1820"/>
      <c r="F465" s="1820"/>
      <c r="I465" s="490"/>
    </row>
    <row r="466" spans="1:9">
      <c r="D466" s="446"/>
      <c r="E466" s="446"/>
      <c r="F466" s="446"/>
      <c r="I466" s="490"/>
    </row>
    <row r="467" spans="1:9" ht="14.25">
      <c r="A467" s="484"/>
      <c r="B467" s="485" t="s">
        <v>2761</v>
      </c>
      <c r="C467" s="487"/>
      <c r="D467" s="1820" t="s">
        <v>1135</v>
      </c>
      <c r="E467" s="1820"/>
      <c r="F467" s="1820"/>
      <c r="I467" s="490"/>
    </row>
    <row r="468" spans="1:9">
      <c r="D468" s="1820"/>
      <c r="E468" s="1820"/>
      <c r="F468" s="1820"/>
      <c r="I468" s="490"/>
    </row>
    <row r="469" spans="1:9">
      <c r="D469" s="1820"/>
      <c r="E469" s="1820"/>
      <c r="F469" s="1820"/>
      <c r="I469" s="490"/>
    </row>
    <row r="470" spans="1:9">
      <c r="D470" s="445"/>
      <c r="E470" s="445"/>
      <c r="F470" s="445"/>
      <c r="I470" s="490"/>
    </row>
    <row r="471" spans="1:9" ht="14.25">
      <c r="B471" s="485" t="s">
        <v>2761</v>
      </c>
      <c r="C471" s="484"/>
      <c r="D471" s="1820" t="s">
        <v>1195</v>
      </c>
      <c r="E471" s="1820"/>
      <c r="F471" s="1820"/>
      <c r="I471" s="490"/>
    </row>
    <row r="472" spans="1:9">
      <c r="D472" s="1820"/>
      <c r="E472" s="1820"/>
      <c r="F472" s="1820"/>
      <c r="I472" s="490"/>
    </row>
    <row r="473" spans="1:9">
      <c r="D473" s="446"/>
      <c r="E473" s="446"/>
      <c r="F473" s="446"/>
      <c r="I473" s="490"/>
    </row>
    <row r="474" spans="1:9" ht="14.25">
      <c r="B474" s="485" t="s">
        <v>2761</v>
      </c>
      <c r="C474" s="484"/>
      <c r="D474" s="1820" t="s">
        <v>1136</v>
      </c>
      <c r="E474" s="1820"/>
      <c r="F474" s="1820"/>
      <c r="I474" s="490"/>
    </row>
    <row r="475" spans="1:9">
      <c r="D475" s="1820"/>
      <c r="E475" s="1820"/>
      <c r="F475" s="1820"/>
      <c r="I475" s="490"/>
    </row>
    <row r="476" spans="1:9">
      <c r="D476" s="1820"/>
      <c r="E476" s="1820"/>
      <c r="F476" s="1820"/>
      <c r="I476" s="490"/>
    </row>
    <row r="477" spans="1:9">
      <c r="D477" s="1820"/>
      <c r="E477" s="1820"/>
      <c r="F477" s="1820"/>
      <c r="I477" s="490"/>
    </row>
    <row r="478" spans="1:9">
      <c r="B478" s="485" t="s">
        <v>2761</v>
      </c>
      <c r="D478" s="1820"/>
      <c r="E478" s="1820"/>
      <c r="F478" s="1820"/>
      <c r="I478" s="490"/>
    </row>
    <row r="479" spans="1:9">
      <c r="A479" s="402"/>
      <c r="B479" s="402"/>
      <c r="C479" s="402"/>
      <c r="D479" s="1820"/>
      <c r="E479" s="1820"/>
      <c r="F479" s="1820"/>
      <c r="I479" s="490"/>
    </row>
    <row r="480" spans="1:9">
      <c r="A480" s="402"/>
      <c r="C480" s="402"/>
      <c r="D480" s="1820"/>
      <c r="E480" s="1820"/>
      <c r="F480" s="1820"/>
      <c r="I480" s="490"/>
    </row>
    <row r="481" spans="1:9">
      <c r="A481" s="402"/>
      <c r="B481" s="485" t="s">
        <v>2761</v>
      </c>
      <c r="C481" s="402"/>
      <c r="D481" s="1820"/>
      <c r="E481" s="1820"/>
      <c r="F481" s="1820"/>
      <c r="I481" s="490"/>
    </row>
    <row r="482" spans="1:9">
      <c r="A482" s="402"/>
      <c r="B482" s="402"/>
      <c r="C482" s="402"/>
      <c r="D482" s="1820"/>
      <c r="E482" s="1820"/>
      <c r="F482" s="1820"/>
      <c r="I482" s="490"/>
    </row>
    <row r="483" spans="1:9">
      <c r="A483" s="402"/>
      <c r="C483" s="402"/>
      <c r="D483" s="1820"/>
      <c r="E483" s="1820"/>
      <c r="F483" s="1820"/>
      <c r="I483" s="490"/>
    </row>
    <row r="484" spans="1:9">
      <c r="A484" s="402"/>
      <c r="C484" s="402"/>
      <c r="D484" s="1820"/>
      <c r="E484" s="1820"/>
      <c r="F484" s="1820"/>
      <c r="I484" s="490"/>
    </row>
    <row r="485" spans="1:9">
      <c r="A485" s="402"/>
      <c r="C485" s="402"/>
      <c r="D485" s="1820"/>
      <c r="E485" s="1820"/>
      <c r="F485" s="1820"/>
      <c r="I485" s="490"/>
    </row>
    <row r="486" spans="1:9">
      <c r="A486" s="402"/>
      <c r="B486" s="485" t="s">
        <v>2761</v>
      </c>
      <c r="C486" s="402"/>
      <c r="D486" s="1820"/>
      <c r="E486" s="1820"/>
      <c r="F486" s="1820"/>
      <c r="I486" s="490"/>
    </row>
    <row r="487" spans="1:9">
      <c r="A487" s="402"/>
      <c r="C487" s="402"/>
      <c r="D487" s="1820"/>
      <c r="E487" s="1820"/>
      <c r="F487" s="1820"/>
      <c r="I487" s="490"/>
    </row>
    <row r="488" spans="1:9">
      <c r="A488" s="402"/>
      <c r="B488" s="485" t="s">
        <v>2761</v>
      </c>
      <c r="C488" s="402"/>
      <c r="D488" s="1820" t="s">
        <v>1137</v>
      </c>
      <c r="E488" s="1820"/>
      <c r="F488" s="1820"/>
      <c r="I488" s="490"/>
    </row>
    <row r="489" spans="1:9">
      <c r="A489" s="402"/>
      <c r="B489" s="402"/>
      <c r="C489" s="402"/>
      <c r="D489" s="1820"/>
      <c r="E489" s="1820"/>
      <c r="F489" s="1820"/>
      <c r="I489" s="490"/>
    </row>
    <row r="490" spans="1:9">
      <c r="A490" s="402"/>
      <c r="B490" s="402"/>
      <c r="C490" s="402"/>
      <c r="D490" s="1820"/>
      <c r="E490" s="1820"/>
      <c r="F490" s="1820"/>
      <c r="I490" s="490"/>
    </row>
    <row r="491" spans="1:9">
      <c r="A491" s="402"/>
      <c r="B491" s="402"/>
      <c r="C491" s="402"/>
      <c r="D491" s="1820"/>
      <c r="E491" s="1820"/>
      <c r="F491" s="1820"/>
      <c r="I491" s="490"/>
    </row>
    <row r="492" spans="1:9">
      <c r="D492" s="1820"/>
      <c r="E492" s="1820"/>
      <c r="F492" s="1820"/>
      <c r="I492" s="490"/>
    </row>
    <row r="493" spans="1:9">
      <c r="D493" s="446"/>
      <c r="E493" s="446"/>
      <c r="F493" s="446"/>
      <c r="I493" s="490"/>
    </row>
    <row r="494" spans="1:9">
      <c r="B494" s="485" t="s">
        <v>2761</v>
      </c>
      <c r="D494" s="1821" t="s">
        <v>1138</v>
      </c>
      <c r="E494" s="1821"/>
      <c r="F494" s="1821"/>
      <c r="I494" s="490"/>
    </row>
    <row r="495" spans="1:9">
      <c r="A495" s="446"/>
      <c r="B495" s="446"/>
      <c r="I495" s="490"/>
    </row>
    <row r="496" spans="1:9">
      <c r="A496" s="1823" t="s">
        <v>1048</v>
      </c>
      <c r="B496" s="1823"/>
      <c r="C496" s="1823"/>
      <c r="D496" s="1823"/>
      <c r="E496" s="1823"/>
      <c r="F496" s="1823"/>
      <c r="G496" s="1823"/>
      <c r="H496" s="1023"/>
      <c r="I496" s="1147"/>
    </row>
    <row r="497" spans="1:9">
      <c r="A497" s="446"/>
      <c r="B497" s="446"/>
      <c r="I497" s="490"/>
    </row>
    <row r="498" spans="1:9">
      <c r="D498" s="1833" t="s">
        <v>881</v>
      </c>
      <c r="E498" s="1833"/>
      <c r="F498" s="1833"/>
      <c r="I498" s="490"/>
    </row>
    <row r="499" spans="1:9" ht="14.25">
      <c r="A499" s="484"/>
      <c r="B499" s="484"/>
      <c r="D499" s="1834" t="s">
        <v>1139</v>
      </c>
      <c r="E499" s="1834"/>
      <c r="F499" s="1834"/>
      <c r="I499" s="490"/>
    </row>
    <row r="500" spans="1:9" ht="14.25">
      <c r="A500" s="484"/>
      <c r="B500" s="484"/>
      <c r="D500" s="447"/>
      <c r="I500" s="490"/>
    </row>
    <row r="501" spans="1:9" ht="14.25">
      <c r="A501" s="484"/>
      <c r="B501" s="485" t="s">
        <v>2761</v>
      </c>
      <c r="D501" s="1801" t="s">
        <v>1140</v>
      </c>
      <c r="E501" s="1801"/>
      <c r="F501" s="1801"/>
      <c r="I501" s="490"/>
    </row>
    <row r="502" spans="1:9" ht="14.25">
      <c r="A502" s="484"/>
      <c r="B502" s="484"/>
      <c r="D502" s="1801"/>
      <c r="E502" s="1801"/>
      <c r="F502" s="1801"/>
      <c r="I502" s="490"/>
    </row>
    <row r="503" spans="1:9" ht="14.25">
      <c r="A503" s="484"/>
      <c r="B503" s="484"/>
      <c r="D503" s="446"/>
      <c r="I503" s="490"/>
    </row>
    <row r="504" spans="1:9" ht="12.75" customHeight="1">
      <c r="B504" s="485" t="s">
        <v>2761</v>
      </c>
      <c r="D504" s="1824" t="s">
        <v>1271</v>
      </c>
      <c r="E504" s="1824"/>
      <c r="F504" s="1824"/>
      <c r="I504" s="490"/>
    </row>
    <row r="505" spans="1:9" ht="14.25">
      <c r="A505" s="484"/>
      <c r="D505" s="1824"/>
      <c r="E505" s="1824"/>
      <c r="F505" s="1824"/>
      <c r="I505" s="490"/>
    </row>
    <row r="506" spans="1:9" ht="14.25">
      <c r="A506" s="484"/>
      <c r="B506" s="484"/>
      <c r="D506" s="1824"/>
      <c r="E506" s="1824"/>
      <c r="F506" s="1824"/>
      <c r="I506" s="490"/>
    </row>
    <row r="507" spans="1:9" ht="14.25">
      <c r="A507" s="484"/>
      <c r="B507" s="484"/>
      <c r="D507" s="1824"/>
      <c r="E507" s="1824"/>
      <c r="F507" s="1824"/>
      <c r="I507" s="490"/>
    </row>
    <row r="508" spans="1:9" ht="14.25">
      <c r="A508" s="484"/>
      <c r="D508" s="520"/>
      <c r="E508" s="520"/>
      <c r="F508" s="520"/>
      <c r="I508" s="490"/>
    </row>
    <row r="509" spans="1:9" ht="14.25">
      <c r="A509" s="484"/>
      <c r="B509" s="485" t="s">
        <v>2761</v>
      </c>
      <c r="D509" s="1821" t="s">
        <v>1141</v>
      </c>
      <c r="E509" s="1821"/>
      <c r="F509" s="1821"/>
      <c r="I509" s="490"/>
    </row>
    <row r="510" spans="1:9" ht="14.25">
      <c r="A510" s="484"/>
      <c r="B510" s="484"/>
      <c r="D510" s="446"/>
      <c r="I510" s="490"/>
    </row>
    <row r="511" spans="1:9" ht="14.25">
      <c r="A511" s="484"/>
      <c r="B511" s="485" t="s">
        <v>2761</v>
      </c>
      <c r="D511" s="1820" t="s">
        <v>1142</v>
      </c>
      <c r="E511" s="1820"/>
      <c r="F511" s="1820"/>
      <c r="I511" s="490"/>
    </row>
    <row r="512" spans="1:9" ht="14.25">
      <c r="A512" s="484"/>
      <c r="D512" s="1820"/>
      <c r="E512" s="1820"/>
      <c r="F512" s="1820"/>
      <c r="I512" s="490"/>
    </row>
    <row r="513" spans="1:9">
      <c r="A513" s="490"/>
      <c r="B513" s="490"/>
      <c r="D513" s="447"/>
      <c r="I513" s="490"/>
    </row>
    <row r="514" spans="1:9">
      <c r="A514" s="490"/>
      <c r="B514" s="485" t="s">
        <v>2761</v>
      </c>
      <c r="D514" s="1821" t="s">
        <v>1143</v>
      </c>
      <c r="E514" s="1821"/>
      <c r="F514" s="1821"/>
      <c r="I514" s="490"/>
    </row>
    <row r="515" spans="1:9">
      <c r="D515" s="446"/>
      <c r="E515" s="446"/>
      <c r="F515" s="446"/>
      <c r="I515" s="490"/>
    </row>
    <row r="516" spans="1:9">
      <c r="B516" s="485" t="s">
        <v>2761</v>
      </c>
      <c r="D516" s="1820" t="s">
        <v>2218</v>
      </c>
      <c r="E516" s="1820"/>
      <c r="F516" s="1820"/>
      <c r="I516" s="490"/>
    </row>
    <row r="517" spans="1:9">
      <c r="D517" s="1820"/>
      <c r="E517" s="1820"/>
      <c r="F517" s="1820"/>
      <c r="I517" s="490"/>
    </row>
    <row r="518" spans="1:9">
      <c r="D518" s="1820"/>
      <c r="E518" s="1820"/>
      <c r="F518" s="1820"/>
      <c r="I518" s="490"/>
    </row>
    <row r="519" spans="1:9">
      <c r="D519" s="446"/>
      <c r="E519" s="446"/>
      <c r="F519" s="446"/>
      <c r="I519" s="490"/>
    </row>
    <row r="520" spans="1:9" ht="14.25">
      <c r="A520" s="484"/>
      <c r="B520" s="484"/>
      <c r="D520" s="446"/>
      <c r="I520" s="490"/>
    </row>
    <row r="521" spans="1:9">
      <c r="A521" s="1823" t="s">
        <v>1049</v>
      </c>
      <c r="B521" s="1823"/>
      <c r="C521" s="1823"/>
      <c r="D521" s="1823"/>
      <c r="E521" s="1823"/>
      <c r="F521" s="1823"/>
      <c r="G521" s="1823"/>
      <c r="H521" s="1023"/>
      <c r="I521" s="1147"/>
    </row>
    <row r="522" spans="1:9" ht="12" customHeight="1">
      <c r="A522" s="484"/>
      <c r="B522" s="484"/>
      <c r="D522" s="446"/>
      <c r="I522" s="490"/>
    </row>
    <row r="523" spans="1:9">
      <c r="C523" s="482"/>
      <c r="D523" s="1829" t="s">
        <v>791</v>
      </c>
      <c r="E523" s="1829"/>
      <c r="F523" s="182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2760</v>
      </c>
      <c r="C527" s="483"/>
      <c r="D527" s="1801" t="s">
        <v>2016</v>
      </c>
      <c r="E527" s="1801"/>
      <c r="F527" s="1801"/>
      <c r="I527" s="490"/>
    </row>
    <row r="528" spans="1:9">
      <c r="A528" s="483"/>
      <c r="B528" s="483"/>
      <c r="C528" s="483"/>
      <c r="D528" s="1801"/>
      <c r="E528" s="1801"/>
      <c r="F528" s="1801"/>
      <c r="I528" s="490"/>
    </row>
    <row r="529" spans="1:9">
      <c r="A529" s="483"/>
      <c r="B529" s="483"/>
      <c r="C529" s="483"/>
      <c r="D529" s="451"/>
      <c r="E529" s="451"/>
      <c r="F529" s="451"/>
      <c r="I529" s="480"/>
    </row>
    <row r="530" spans="1:9" ht="12.75" customHeight="1">
      <c r="A530" s="483"/>
      <c r="B530" s="485" t="s">
        <v>2760</v>
      </c>
      <c r="D530" s="386" t="s">
        <v>1874</v>
      </c>
      <c r="E530" s="385"/>
      <c r="F530" s="385"/>
      <c r="I530" s="490"/>
    </row>
    <row r="531" spans="1:9">
      <c r="A531" s="483"/>
      <c r="B531" s="483"/>
      <c r="C531" s="483"/>
      <c r="D531" s="385"/>
      <c r="E531" s="96" t="s">
        <v>1875</v>
      </c>
      <c r="I531" s="490"/>
    </row>
    <row r="532" spans="1:9">
      <c r="A532" s="483"/>
      <c r="B532" s="483"/>
      <c r="D532" s="1816" t="s">
        <v>2017</v>
      </c>
      <c r="E532" s="1816"/>
      <c r="F532" s="1816"/>
      <c r="I532" s="490"/>
    </row>
    <row r="533" spans="1:9">
      <c r="A533" s="483"/>
      <c r="B533" s="483"/>
      <c r="D533" s="1816"/>
      <c r="E533" s="1816"/>
      <c r="F533" s="1816"/>
      <c r="I533" s="490"/>
    </row>
    <row r="534" spans="1:9">
      <c r="A534" s="483"/>
      <c r="B534" s="483"/>
      <c r="C534" s="483"/>
      <c r="D534" s="1816"/>
      <c r="E534" s="1816"/>
      <c r="F534" s="1816"/>
      <c r="I534" s="490"/>
    </row>
    <row r="535" spans="1:9">
      <c r="A535" s="483"/>
      <c r="B535" s="483"/>
      <c r="C535" s="483"/>
      <c r="D535" s="498"/>
      <c r="F535" s="446"/>
      <c r="I535" s="490"/>
    </row>
    <row r="536" spans="1:9" ht="13.15" customHeight="1">
      <c r="A536" s="483"/>
      <c r="B536" s="485" t="s">
        <v>2761</v>
      </c>
      <c r="C536" s="483"/>
      <c r="D536" s="1820" t="s">
        <v>2629</v>
      </c>
      <c r="E536" s="1820"/>
      <c r="F536" s="1820"/>
      <c r="I536" s="490"/>
    </row>
    <row r="537" spans="1:9" ht="13.15" customHeight="1">
      <c r="A537" s="483"/>
      <c r="B537" s="483"/>
      <c r="C537" s="483"/>
      <c r="D537" s="1820"/>
      <c r="E537" s="1820"/>
      <c r="F537" s="1820"/>
      <c r="I537" s="490"/>
    </row>
    <row r="538" spans="1:9">
      <c r="A538" s="483"/>
      <c r="B538" s="483"/>
      <c r="C538" s="483"/>
      <c r="D538" s="1820"/>
      <c r="E538" s="1820"/>
      <c r="F538" s="1820"/>
      <c r="I538" s="490"/>
    </row>
    <row r="539" spans="1:9" ht="12" customHeight="1">
      <c r="A539" s="446"/>
      <c r="B539" s="446"/>
      <c r="C539" s="487"/>
      <c r="D539" s="446"/>
      <c r="F539" s="448"/>
      <c r="I539" s="490"/>
    </row>
    <row r="540" spans="1:9">
      <c r="A540" s="1823" t="s">
        <v>1050</v>
      </c>
      <c r="B540" s="1823"/>
      <c r="C540" s="1823"/>
      <c r="D540" s="1823"/>
      <c r="E540" s="1823"/>
      <c r="F540" s="1823"/>
      <c r="G540" s="1823"/>
      <c r="H540" s="1023"/>
      <c r="I540" s="1147"/>
    </row>
    <row r="541" spans="1:9">
      <c r="A541" s="446"/>
      <c r="B541" s="446"/>
      <c r="C541" s="487"/>
      <c r="F541" s="448"/>
      <c r="I541" s="490"/>
    </row>
    <row r="542" spans="1:9">
      <c r="B542" s="1827" t="s">
        <v>444</v>
      </c>
      <c r="C542" s="1827"/>
      <c r="D542" s="1827"/>
      <c r="E542" s="1827"/>
      <c r="F542" s="1827"/>
      <c r="I542" s="490"/>
    </row>
    <row r="543" spans="1:9">
      <c r="A543" s="446"/>
      <c r="B543" s="446"/>
      <c r="C543" s="487"/>
      <c r="D543" s="446"/>
      <c r="F543" s="446"/>
      <c r="I543" s="490"/>
    </row>
    <row r="544" spans="1:9">
      <c r="A544" s="1828" t="s">
        <v>1051</v>
      </c>
      <c r="B544" s="1828"/>
      <c r="C544" s="1828"/>
      <c r="D544" s="1828"/>
      <c r="E544" s="1828"/>
      <c r="F544" s="1828"/>
      <c r="G544" s="1828"/>
      <c r="H544" s="1023"/>
      <c r="I544" s="1147"/>
    </row>
    <row r="545" spans="1:9">
      <c r="A545" s="446"/>
      <c r="B545" s="446"/>
      <c r="C545" s="487"/>
      <c r="D545" s="446"/>
      <c r="F545" s="446"/>
      <c r="I545" s="490"/>
    </row>
    <row r="546" spans="1:9">
      <c r="C546" s="487"/>
      <c r="D546" s="1829" t="s">
        <v>681</v>
      </c>
      <c r="E546" s="1829"/>
      <c r="F546" s="1829"/>
      <c r="I546" s="490"/>
    </row>
    <row r="547" spans="1:9">
      <c r="C547" s="487"/>
      <c r="D547" s="1821" t="s">
        <v>1079</v>
      </c>
      <c r="E547" s="1821"/>
      <c r="F547" s="1821"/>
      <c r="I547" s="490"/>
    </row>
    <row r="548" spans="1:9">
      <c r="C548" s="487"/>
      <c r="D548" s="446"/>
      <c r="E548" s="446"/>
      <c r="F548" s="446"/>
      <c r="I548" s="490"/>
    </row>
    <row r="549" spans="1:9" ht="13.7" customHeight="1">
      <c r="A549" s="484"/>
      <c r="B549" s="485" t="s">
        <v>2760</v>
      </c>
      <c r="C549" s="487"/>
      <c r="D549" s="1821" t="s">
        <v>882</v>
      </c>
      <c r="E549" s="1821"/>
      <c r="F549" s="1821"/>
      <c r="I549" s="490"/>
    </row>
    <row r="550" spans="1:9" ht="13.7" customHeight="1">
      <c r="A550" s="487"/>
      <c r="B550" s="487"/>
      <c r="C550" s="487"/>
      <c r="D550" s="446"/>
      <c r="I550" s="490"/>
    </row>
    <row r="551" spans="1:9" ht="14.25">
      <c r="A551" s="484"/>
      <c r="B551" s="485" t="s">
        <v>2760</v>
      </c>
      <c r="C551" s="487"/>
      <c r="D551" s="1820" t="s">
        <v>1080</v>
      </c>
      <c r="E551" s="1820"/>
      <c r="F551" s="1820"/>
      <c r="I551" s="490"/>
    </row>
    <row r="552" spans="1:9">
      <c r="A552" s="487"/>
      <c r="B552" s="487"/>
      <c r="C552" s="487"/>
      <c r="D552" s="1820"/>
      <c r="E552" s="1820"/>
      <c r="F552" s="1820"/>
      <c r="I552" s="490"/>
    </row>
    <row r="553" spans="1:9">
      <c r="A553" s="487"/>
      <c r="B553" s="487"/>
      <c r="C553" s="487"/>
      <c r="D553" s="446"/>
      <c r="E553" s="446"/>
      <c r="F553" s="446"/>
      <c r="I553" s="490"/>
    </row>
    <row r="554" spans="1:9" ht="14.25">
      <c r="A554" s="484"/>
      <c r="B554" s="485" t="s">
        <v>2760</v>
      </c>
      <c r="C554" s="487"/>
      <c r="D554" s="1820" t="s">
        <v>1081</v>
      </c>
      <c r="E554" s="1820"/>
      <c r="F554" s="1820"/>
      <c r="I554" s="490"/>
    </row>
    <row r="555" spans="1:9">
      <c r="A555" s="487"/>
      <c r="B555" s="487"/>
      <c r="C555" s="487"/>
      <c r="D555" s="1820"/>
      <c r="E555" s="1820"/>
      <c r="F555" s="1820"/>
      <c r="I555" s="490"/>
    </row>
    <row r="556" spans="1:9">
      <c r="A556" s="487"/>
      <c r="B556" s="487"/>
      <c r="C556" s="487"/>
      <c r="D556" s="446"/>
      <c r="E556" s="446"/>
      <c r="F556" s="446"/>
      <c r="I556" s="490"/>
    </row>
    <row r="557" spans="1:9" ht="14.25">
      <c r="A557" s="484"/>
      <c r="B557" s="485" t="s">
        <v>2760</v>
      </c>
      <c r="C557" s="487"/>
      <c r="D557" s="1820" t="s">
        <v>1082</v>
      </c>
      <c r="E557" s="1820"/>
      <c r="F557" s="1820"/>
      <c r="I557" s="490"/>
    </row>
    <row r="558" spans="1:9">
      <c r="A558" s="487"/>
      <c r="B558" s="487"/>
      <c r="C558" s="487"/>
      <c r="D558" s="1820"/>
      <c r="E558" s="1820"/>
      <c r="F558" s="1820"/>
      <c r="I558" s="490"/>
    </row>
    <row r="559" spans="1:9">
      <c r="A559" s="487"/>
      <c r="B559" s="487"/>
      <c r="C559" s="487"/>
      <c r="D559" s="446"/>
      <c r="E559" s="446"/>
      <c r="F559" s="446"/>
      <c r="I559" s="490"/>
    </row>
    <row r="560" spans="1:9" ht="14.25">
      <c r="A560" s="484"/>
      <c r="B560" s="485" t="s">
        <v>2760</v>
      </c>
      <c r="C560" s="487"/>
      <c r="D560" s="1820" t="s">
        <v>1083</v>
      </c>
      <c r="E560" s="1820"/>
      <c r="F560" s="1820"/>
      <c r="I560" s="490"/>
    </row>
    <row r="561" spans="1:9">
      <c r="A561" s="487"/>
      <c r="B561" s="487"/>
      <c r="C561" s="487"/>
      <c r="D561" s="1820"/>
      <c r="E561" s="1820"/>
      <c r="F561" s="1820"/>
      <c r="I561" s="490"/>
    </row>
    <row r="562" spans="1:9">
      <c r="A562" s="487"/>
      <c r="B562" s="487"/>
      <c r="C562" s="487"/>
      <c r="D562" s="1820"/>
      <c r="E562" s="1820"/>
      <c r="F562" s="1820"/>
      <c r="I562" s="490"/>
    </row>
    <row r="563" spans="1:9">
      <c r="A563" s="487"/>
      <c r="B563" s="487"/>
      <c r="C563" s="487"/>
      <c r="D563" s="446"/>
      <c r="E563" s="446"/>
      <c r="F563" s="446"/>
      <c r="I563" s="490"/>
    </row>
    <row r="564" spans="1:9" ht="14.25">
      <c r="A564" s="484"/>
      <c r="B564" s="485" t="s">
        <v>2761</v>
      </c>
      <c r="C564" s="487"/>
      <c r="D564" s="1820" t="s">
        <v>2197</v>
      </c>
      <c r="E564" s="1820"/>
      <c r="F564" s="1820"/>
      <c r="I564" s="490"/>
    </row>
    <row r="565" spans="1:9">
      <c r="A565" s="487"/>
      <c r="B565" s="487"/>
      <c r="C565" s="487"/>
      <c r="D565" s="1820"/>
      <c r="E565" s="1820"/>
      <c r="F565" s="1820"/>
      <c r="I565" s="490"/>
    </row>
    <row r="566" spans="1:9">
      <c r="A566" s="487"/>
      <c r="B566" s="487"/>
      <c r="C566" s="487"/>
      <c r="D566" s="446"/>
      <c r="E566" s="446"/>
      <c r="F566" s="446"/>
      <c r="I566" s="490"/>
    </row>
    <row r="567" spans="1:9" ht="14.25">
      <c r="A567" s="484"/>
      <c r="B567" s="485" t="s">
        <v>2761</v>
      </c>
      <c r="C567" s="487"/>
      <c r="D567" s="1820" t="s">
        <v>1084</v>
      </c>
      <c r="E567" s="1820"/>
      <c r="F567" s="1820"/>
      <c r="I567" s="490"/>
    </row>
    <row r="568" spans="1:9">
      <c r="A568" s="487"/>
      <c r="B568" s="487"/>
      <c r="C568" s="487"/>
      <c r="D568" s="1820"/>
      <c r="E568" s="1820"/>
      <c r="F568" s="1820"/>
      <c r="I568" s="490"/>
    </row>
    <row r="569" spans="1:9">
      <c r="A569" s="487"/>
      <c r="B569" s="487"/>
      <c r="C569" s="487"/>
      <c r="D569" s="446"/>
      <c r="E569" s="446"/>
      <c r="F569" s="446"/>
      <c r="I569" s="490"/>
    </row>
    <row r="570" spans="1:9" ht="14.25">
      <c r="A570" s="484"/>
      <c r="B570" s="485" t="s">
        <v>2760</v>
      </c>
      <c r="C570" s="487"/>
      <c r="D570" s="1821" t="s">
        <v>1085</v>
      </c>
      <c r="E570" s="1821"/>
      <c r="F570" s="1821"/>
      <c r="I570" s="490"/>
    </row>
    <row r="571" spans="1:9">
      <c r="A571" s="490"/>
      <c r="B571" s="490"/>
      <c r="C571" s="487"/>
      <c r="D571" s="1821" t="s">
        <v>1877</v>
      </c>
      <c r="E571" s="1821"/>
      <c r="F571" s="1821"/>
      <c r="I571" s="490"/>
    </row>
    <row r="572" spans="1:9">
      <c r="A572" s="490"/>
      <c r="B572" s="490"/>
      <c r="C572" s="487"/>
      <c r="E572" s="96" t="s">
        <v>1876</v>
      </c>
      <c r="F572" s="404"/>
      <c r="I572" s="490"/>
    </row>
    <row r="573" spans="1:9" ht="14.25">
      <c r="A573" s="484"/>
      <c r="B573" s="484"/>
      <c r="C573" s="487"/>
      <c r="E573" s="446"/>
      <c r="F573" s="446"/>
      <c r="I573" s="490"/>
    </row>
    <row r="574" spans="1:9" ht="14.25">
      <c r="A574" s="484"/>
      <c r="B574" s="485" t="s">
        <v>2760</v>
      </c>
      <c r="C574" s="487"/>
      <c r="D574" s="1821" t="s">
        <v>1086</v>
      </c>
      <c r="E574" s="1821"/>
      <c r="F574" s="1821"/>
      <c r="I574" s="490"/>
    </row>
    <row r="575" spans="1:9">
      <c r="C575" s="487"/>
      <c r="D575" s="1820" t="s">
        <v>1087</v>
      </c>
      <c r="E575" s="1820"/>
      <c r="F575" s="1820"/>
      <c r="I575" s="490"/>
    </row>
    <row r="576" spans="1:9">
      <c r="A576" s="487"/>
      <c r="B576" s="487"/>
      <c r="C576" s="487"/>
      <c r="D576" s="1820"/>
      <c r="E576" s="1820"/>
      <c r="F576" s="1820"/>
      <c r="I576" s="490"/>
    </row>
    <row r="577" spans="1:9">
      <c r="A577" s="487"/>
      <c r="B577" s="487"/>
      <c r="C577" s="487"/>
      <c r="D577" s="1820"/>
      <c r="E577" s="1820"/>
      <c r="F577" s="1820"/>
      <c r="I577" s="490"/>
    </row>
    <row r="578" spans="1:9">
      <c r="A578" s="487"/>
      <c r="B578" s="487"/>
      <c r="C578" s="487"/>
      <c r="D578" s="446"/>
      <c r="E578" s="446"/>
      <c r="F578" s="446"/>
      <c r="I578" s="490"/>
    </row>
    <row r="579" spans="1:9" ht="14.25">
      <c r="A579" s="484"/>
      <c r="B579" s="485" t="s">
        <v>2760</v>
      </c>
      <c r="C579" s="487"/>
      <c r="D579" s="1820" t="s">
        <v>2018</v>
      </c>
      <c r="E579" s="1820"/>
      <c r="F579" s="1820"/>
      <c r="I579" s="490"/>
    </row>
    <row r="580" spans="1:9" ht="14.25">
      <c r="A580" s="484"/>
      <c r="B580" s="484"/>
      <c r="C580" s="487"/>
      <c r="D580" s="1820"/>
      <c r="E580" s="1820"/>
      <c r="F580" s="1820"/>
      <c r="I580" s="490"/>
    </row>
    <row r="581" spans="1:9" ht="14.25">
      <c r="A581" s="484"/>
      <c r="B581" s="484"/>
      <c r="C581" s="487"/>
      <c r="D581" s="1820"/>
      <c r="E581" s="1820"/>
      <c r="F581" s="1820"/>
      <c r="I581" s="490"/>
    </row>
    <row r="582" spans="1:9" ht="14.25">
      <c r="A582" s="484"/>
      <c r="B582" s="484"/>
      <c r="C582" s="487"/>
      <c r="D582" s="1820"/>
      <c r="E582" s="1820"/>
      <c r="F582" s="1820"/>
      <c r="I582" s="490"/>
    </row>
    <row r="583" spans="1:9" ht="14.25">
      <c r="A583" s="484"/>
      <c r="B583" s="484"/>
      <c r="C583" s="487"/>
      <c r="D583" s="446"/>
      <c r="E583" s="446"/>
      <c r="F583" s="446"/>
      <c r="I583" s="490"/>
    </row>
    <row r="584" spans="1:9">
      <c r="A584" s="1823" t="s">
        <v>1052</v>
      </c>
      <c r="B584" s="1823"/>
      <c r="C584" s="1823"/>
      <c r="D584" s="1823"/>
      <c r="E584" s="1823"/>
      <c r="F584" s="1823"/>
      <c r="G584" s="1823"/>
      <c r="H584" s="1023"/>
      <c r="I584" s="1147"/>
    </row>
    <row r="585" spans="1:9">
      <c r="A585" s="487"/>
      <c r="B585" s="487"/>
      <c r="C585" s="487"/>
      <c r="E585" s="446"/>
      <c r="F585" s="446"/>
      <c r="I585" s="490"/>
    </row>
    <row r="586" spans="1:9" ht="12.75" customHeight="1">
      <c r="C586" s="482"/>
      <c r="D586" s="1822" t="s">
        <v>209</v>
      </c>
      <c r="E586" s="1822"/>
      <c r="F586" s="1822"/>
      <c r="I586" s="490"/>
    </row>
    <row r="587" spans="1:9">
      <c r="A587" s="483"/>
      <c r="B587" s="483"/>
      <c r="C587" s="483"/>
      <c r="D587" s="1824" t="s">
        <v>1065</v>
      </c>
      <c r="E587" s="1824"/>
      <c r="F587" s="1824"/>
      <c r="I587" s="490"/>
    </row>
    <row r="588" spans="1:9">
      <c r="A588" s="402"/>
      <c r="B588" s="402"/>
      <c r="C588" s="483"/>
      <c r="D588" s="499"/>
      <c r="I588" s="490"/>
    </row>
    <row r="589" spans="1:9">
      <c r="A589" s="483"/>
      <c r="B589" s="485" t="s">
        <v>2760</v>
      </c>
      <c r="D589" s="1824" t="s">
        <v>886</v>
      </c>
      <c r="E589" s="1824"/>
      <c r="F589" s="1824"/>
      <c r="I589" s="490"/>
    </row>
    <row r="590" spans="1:9">
      <c r="A590" s="490"/>
      <c r="B590" s="490"/>
      <c r="D590" s="476"/>
      <c r="I590" s="490"/>
    </row>
    <row r="591" spans="1:9">
      <c r="A591" s="490"/>
      <c r="B591" s="485" t="s">
        <v>2760</v>
      </c>
      <c r="D591" s="1824" t="s">
        <v>2019</v>
      </c>
      <c r="E591" s="1824"/>
      <c r="F591" s="1824"/>
      <c r="I591" s="490"/>
    </row>
    <row r="592" spans="1:9">
      <c r="A592" s="490"/>
      <c r="B592" s="490"/>
      <c r="D592" s="1824"/>
      <c r="E592" s="1824"/>
      <c r="F592" s="1824"/>
      <c r="I592" s="490"/>
    </row>
    <row r="593" spans="1:9">
      <c r="A593" s="490"/>
      <c r="B593" s="490"/>
      <c r="D593" s="1824"/>
      <c r="E593" s="1824"/>
      <c r="F593" s="1824"/>
      <c r="I593" s="490"/>
    </row>
    <row r="594" spans="1:9">
      <c r="A594" s="490"/>
      <c r="B594" s="490"/>
      <c r="D594" s="1824"/>
      <c r="E594" s="1824"/>
      <c r="F594" s="1824"/>
      <c r="I594" s="490"/>
    </row>
    <row r="595" spans="1:9">
      <c r="A595" s="490"/>
      <c r="B595" s="485" t="s">
        <v>2761</v>
      </c>
      <c r="D595" s="1824" t="s">
        <v>1066</v>
      </c>
      <c r="E595" s="1824"/>
      <c r="F595" s="1824"/>
      <c r="I595" s="490"/>
    </row>
    <row r="596" spans="1:9">
      <c r="A596" s="490"/>
      <c r="B596" s="490"/>
      <c r="D596" s="1824"/>
      <c r="E596" s="1824"/>
      <c r="F596" s="1824"/>
      <c r="I596" s="490"/>
    </row>
    <row r="597" spans="1:9">
      <c r="A597" s="490"/>
      <c r="B597" s="490"/>
      <c r="D597" s="1824"/>
      <c r="E597" s="1824"/>
      <c r="F597" s="1824"/>
      <c r="I597" s="490"/>
    </row>
    <row r="598" spans="1:9">
      <c r="A598" s="490"/>
      <c r="B598" s="490"/>
      <c r="D598" s="1824"/>
      <c r="E598" s="1824"/>
      <c r="F598" s="1824"/>
      <c r="I598" s="490"/>
    </row>
    <row r="599" spans="1:9">
      <c r="A599" s="490"/>
      <c r="B599" s="490"/>
      <c r="D599" s="440"/>
      <c r="E599" s="440"/>
      <c r="F599" s="440"/>
      <c r="I599" s="490"/>
    </row>
    <row r="600" spans="1:9">
      <c r="A600" s="490"/>
      <c r="B600" s="485" t="s">
        <v>2760</v>
      </c>
      <c r="D600" s="1824" t="s">
        <v>2020</v>
      </c>
      <c r="E600" s="1824"/>
      <c r="F600" s="1824"/>
      <c r="I600" s="490"/>
    </row>
    <row r="601" spans="1:9">
      <c r="A601" s="490"/>
      <c r="B601" s="490"/>
      <c r="D601" s="1824"/>
      <c r="E601" s="1824"/>
      <c r="F601" s="1824"/>
      <c r="I601" s="490"/>
    </row>
    <row r="602" spans="1:9">
      <c r="A602" s="490"/>
      <c r="B602" s="490"/>
      <c r="D602" s="499"/>
      <c r="I602" s="490"/>
    </row>
    <row r="603" spans="1:9">
      <c r="A603" s="490"/>
      <c r="B603" s="485" t="s">
        <v>2761</v>
      </c>
      <c r="D603" s="1824" t="s">
        <v>1067</v>
      </c>
      <c r="E603" s="1824"/>
      <c r="F603" s="1824"/>
      <c r="I603" s="490"/>
    </row>
    <row r="604" spans="1:9">
      <c r="A604" s="490"/>
      <c r="B604" s="490"/>
      <c r="D604" s="1824"/>
      <c r="E604" s="1824"/>
      <c r="F604" s="1824"/>
      <c r="I604" s="490"/>
    </row>
    <row r="605" spans="1:9" ht="14.25">
      <c r="A605" s="484"/>
      <c r="B605" s="484"/>
      <c r="D605" s="499"/>
      <c r="I605" s="490"/>
    </row>
    <row r="606" spans="1:9">
      <c r="A606" s="1823" t="s">
        <v>1053</v>
      </c>
      <c r="B606" s="1823"/>
      <c r="C606" s="1823"/>
      <c r="D606" s="1823"/>
      <c r="E606" s="1823"/>
      <c r="F606" s="1823"/>
      <c r="G606" s="1823"/>
      <c r="H606" s="1023"/>
      <c r="I606" s="1147"/>
    </row>
    <row r="607" spans="1:9">
      <c r="I607" s="490"/>
    </row>
    <row r="608" spans="1:9">
      <c r="D608" s="1829" t="s">
        <v>1105</v>
      </c>
      <c r="E608" s="1829"/>
      <c r="F608" s="1829"/>
      <c r="I608" s="490"/>
    </row>
    <row r="609" spans="1:9">
      <c r="D609" s="1830" t="s">
        <v>1106</v>
      </c>
      <c r="E609" s="1830"/>
      <c r="F609" s="1830"/>
      <c r="I609" s="490"/>
    </row>
    <row r="610" spans="1:9">
      <c r="D610" s="444"/>
      <c r="I610" s="490"/>
    </row>
    <row r="611" spans="1:9" ht="14.25" customHeight="1">
      <c r="A611" s="484"/>
      <c r="B611" s="485" t="s">
        <v>2760</v>
      </c>
      <c r="D611" s="1847" t="s">
        <v>1878</v>
      </c>
      <c r="E611" s="1847"/>
      <c r="F611" s="1847"/>
      <c r="I611" s="490"/>
    </row>
    <row r="612" spans="1:9">
      <c r="D612" s="1847"/>
      <c r="E612" s="1847"/>
      <c r="F612" s="1847"/>
      <c r="I612" s="490"/>
    </row>
    <row r="613" spans="1:9">
      <c r="D613" s="385"/>
      <c r="E613" s="1031" t="s">
        <v>1879</v>
      </c>
      <c r="F613" s="385"/>
      <c r="I613" s="490"/>
    </row>
    <row r="614" spans="1:9">
      <c r="I614" s="490"/>
    </row>
    <row r="615" spans="1:9">
      <c r="A615" s="1823" t="s">
        <v>1054</v>
      </c>
      <c r="B615" s="1823"/>
      <c r="C615" s="1823"/>
      <c r="D615" s="1823"/>
      <c r="E615" s="1823"/>
      <c r="F615" s="1823"/>
      <c r="G615" s="1823"/>
      <c r="H615" s="1023"/>
      <c r="I615" s="1147"/>
    </row>
    <row r="616" spans="1:9">
      <c r="A616" s="446"/>
      <c r="B616" s="446"/>
      <c r="I616" s="490"/>
    </row>
    <row r="617" spans="1:9">
      <c r="A617" s="482"/>
      <c r="B617" s="482"/>
      <c r="C617" s="482"/>
      <c r="D617" s="1854" t="s">
        <v>1107</v>
      </c>
      <c r="E617" s="1854"/>
      <c r="F617" s="1854"/>
      <c r="I617" s="490"/>
    </row>
    <row r="618" spans="1:9">
      <c r="A618" s="482"/>
      <c r="B618" s="482"/>
      <c r="C618" s="482"/>
      <c r="D618" s="1854"/>
      <c r="E618" s="1854"/>
      <c r="F618" s="1854"/>
      <c r="I618" s="490"/>
    </row>
    <row r="619" spans="1:9">
      <c r="C619" s="483"/>
      <c r="D619" s="1830" t="s">
        <v>1108</v>
      </c>
      <c r="E619" s="1830"/>
      <c r="F619" s="1830"/>
      <c r="I619" s="490"/>
    </row>
    <row r="620" spans="1:9">
      <c r="C620" s="483"/>
      <c r="D620" s="444"/>
      <c r="E620" s="444"/>
      <c r="F620" s="444"/>
      <c r="I620" s="490"/>
    </row>
    <row r="621" spans="1:9">
      <c r="B621" s="485" t="s">
        <v>2760</v>
      </c>
      <c r="C621" s="483"/>
      <c r="D621" s="1836" t="s">
        <v>2596</v>
      </c>
      <c r="E621" s="1836"/>
      <c r="F621" s="1836"/>
      <c r="I621" s="490"/>
    </row>
    <row r="622" spans="1:9">
      <c r="C622" s="483"/>
      <c r="D622" s="444"/>
      <c r="E622" s="444"/>
      <c r="F622" s="444"/>
      <c r="I622" s="490"/>
    </row>
    <row r="623" spans="1:9" ht="12.75" customHeight="1">
      <c r="A623" s="490"/>
      <c r="B623" s="485" t="s">
        <v>2760</v>
      </c>
      <c r="D623" s="1831" t="s">
        <v>1109</v>
      </c>
      <c r="E623" s="1831"/>
      <c r="F623" s="1831"/>
      <c r="I623" s="490"/>
    </row>
    <row r="624" spans="1:9">
      <c r="D624" s="1831"/>
      <c r="E624" s="1831"/>
      <c r="F624" s="1831"/>
      <c r="I624" s="490"/>
    </row>
    <row r="625" spans="1:9">
      <c r="I625" s="490"/>
    </row>
    <row r="626" spans="1:9">
      <c r="B626" s="485" t="s">
        <v>2760</v>
      </c>
      <c r="D626" s="1831" t="s">
        <v>1110</v>
      </c>
      <c r="E626" s="1831"/>
      <c r="F626" s="1831"/>
      <c r="I626" s="490"/>
    </row>
    <row r="627" spans="1:9">
      <c r="C627" s="500"/>
      <c r="D627" s="1831"/>
      <c r="E627" s="1831"/>
      <c r="F627" s="1831"/>
      <c r="I627" s="490"/>
    </row>
    <row r="628" spans="1:9">
      <c r="C628" s="500"/>
      <c r="I628" s="490"/>
    </row>
    <row r="629" spans="1:9">
      <c r="B629" s="485" t="s">
        <v>2760</v>
      </c>
      <c r="C629" s="500"/>
      <c r="D629" s="1831" t="s">
        <v>1111</v>
      </c>
      <c r="E629" s="1831"/>
      <c r="F629" s="1831"/>
      <c r="I629" s="490"/>
    </row>
    <row r="630" spans="1:9">
      <c r="C630" s="500"/>
      <c r="D630" s="1831"/>
      <c r="E630" s="1831"/>
      <c r="F630" s="1831"/>
      <c r="I630" s="500"/>
    </row>
    <row r="631" spans="1:9">
      <c r="C631" s="500"/>
      <c r="I631" s="490"/>
    </row>
    <row r="632" spans="1:9">
      <c r="B632" s="485" t="s">
        <v>2760</v>
      </c>
      <c r="C632" s="500"/>
      <c r="D632" s="1836" t="s">
        <v>2545</v>
      </c>
      <c r="E632" s="1836"/>
      <c r="F632" s="1836"/>
      <c r="I632" s="490"/>
    </row>
    <row r="633" spans="1:9">
      <c r="C633" s="500"/>
      <c r="I633" s="490"/>
    </row>
    <row r="634" spans="1:9">
      <c r="A634" s="1823" t="s">
        <v>1055</v>
      </c>
      <c r="B634" s="1823"/>
      <c r="C634" s="1823"/>
      <c r="D634" s="1823"/>
      <c r="E634" s="1823"/>
      <c r="F634" s="1823"/>
      <c r="G634" s="1823"/>
      <c r="H634" s="1023"/>
      <c r="I634" s="1147"/>
    </row>
    <row r="635" spans="1:9">
      <c r="A635" s="482"/>
      <c r="B635" s="482"/>
      <c r="C635" s="482"/>
      <c r="I635" s="490"/>
    </row>
    <row r="636" spans="1:9">
      <c r="C636" s="490"/>
      <c r="D636" s="1829" t="s">
        <v>1112</v>
      </c>
      <c r="E636" s="1829"/>
      <c r="F636" s="1829"/>
      <c r="I636" s="490"/>
    </row>
    <row r="637" spans="1:9">
      <c r="A637" s="490"/>
      <c r="B637" s="490"/>
      <c r="D637" s="404"/>
      <c r="I637" s="490"/>
    </row>
    <row r="638" spans="1:9" ht="14.25" customHeight="1">
      <c r="A638" s="484"/>
      <c r="B638" s="485" t="s">
        <v>2760</v>
      </c>
      <c r="D638" s="1847" t="s">
        <v>2021</v>
      </c>
      <c r="E638" s="1847"/>
      <c r="F638" s="1847"/>
      <c r="I638" s="490"/>
    </row>
    <row r="639" spans="1:9">
      <c r="D639" s="1847"/>
      <c r="E639" s="1847"/>
      <c r="F639" s="1847"/>
      <c r="I639" s="490"/>
    </row>
    <row r="640" spans="1:9">
      <c r="D640" s="385"/>
      <c r="E640" s="1031" t="s">
        <v>1881</v>
      </c>
      <c r="F640" s="385"/>
      <c r="I640" s="490"/>
    </row>
    <row r="641" spans="1:9">
      <c r="D641" s="1820" t="s">
        <v>1880</v>
      </c>
      <c r="E641" s="1820"/>
      <c r="F641" s="1820"/>
      <c r="I641" s="490"/>
    </row>
    <row r="642" spans="1:9">
      <c r="D642" s="1820"/>
      <c r="E642" s="1820"/>
      <c r="F642" s="1820"/>
      <c r="I642" s="490"/>
    </row>
    <row r="643" spans="1:9">
      <c r="D643" s="1820"/>
      <c r="E643" s="1820"/>
      <c r="F643" s="1820"/>
      <c r="I643" s="490"/>
    </row>
    <row r="644" spans="1:9">
      <c r="D644" s="445"/>
      <c r="E644" s="445"/>
      <c r="F644" s="445"/>
      <c r="I644" s="490"/>
    </row>
    <row r="645" spans="1:9" ht="14.25">
      <c r="A645" s="484"/>
      <c r="B645" s="485" t="s">
        <v>2761</v>
      </c>
      <c r="D645" s="1820" t="s">
        <v>1113</v>
      </c>
      <c r="E645" s="1820"/>
      <c r="F645" s="1820"/>
      <c r="I645" s="490"/>
    </row>
    <row r="646" spans="1:9">
      <c r="A646" s="487"/>
      <c r="B646" s="487"/>
      <c r="C646" s="487"/>
      <c r="D646" s="1820"/>
      <c r="E646" s="1820"/>
      <c r="F646" s="1820"/>
      <c r="I646" s="490"/>
    </row>
    <row r="647" spans="1:9">
      <c r="A647" s="487"/>
      <c r="B647" s="487"/>
      <c r="C647" s="487"/>
      <c r="D647" s="446"/>
      <c r="E647" s="446"/>
      <c r="F647" s="446"/>
      <c r="I647" s="490"/>
    </row>
    <row r="648" spans="1:9" ht="14.25">
      <c r="A648" s="484"/>
      <c r="B648" s="485" t="s">
        <v>2761</v>
      </c>
      <c r="C648" s="487"/>
      <c r="D648" s="1820" t="s">
        <v>1223</v>
      </c>
      <c r="E648" s="1820"/>
      <c r="F648" s="1820"/>
      <c r="I648" s="490"/>
    </row>
    <row r="649" spans="1:9" ht="14.25">
      <c r="A649" s="484"/>
      <c r="B649" s="484"/>
      <c r="C649" s="487"/>
      <c r="D649" s="1820"/>
      <c r="E649" s="1820"/>
      <c r="F649" s="1820"/>
      <c r="I649" s="490"/>
    </row>
    <row r="650" spans="1:9" ht="14.25">
      <c r="A650" s="484"/>
      <c r="B650" s="484"/>
      <c r="C650" s="487"/>
      <c r="D650" s="1820"/>
      <c r="E650" s="1820"/>
      <c r="F650" s="1820"/>
      <c r="I650" s="490"/>
    </row>
    <row r="651" spans="1:9">
      <c r="A651" s="487"/>
      <c r="B651" s="485" t="s">
        <v>2761</v>
      </c>
      <c r="C651" s="487"/>
      <c r="D651" s="1821" t="s">
        <v>1114</v>
      </c>
      <c r="E651" s="1821"/>
      <c r="F651" s="1821"/>
      <c r="I651" s="490"/>
    </row>
    <row r="652" spans="1:9">
      <c r="A652" s="487"/>
      <c r="B652" s="487"/>
      <c r="C652" s="487"/>
      <c r="D652" s="446"/>
      <c r="E652" s="446"/>
      <c r="F652" s="446"/>
      <c r="I652" s="490"/>
    </row>
    <row r="653" spans="1:9">
      <c r="A653" s="1823" t="s">
        <v>1056</v>
      </c>
      <c r="B653" s="1823"/>
      <c r="C653" s="1823"/>
      <c r="D653" s="1823"/>
      <c r="E653" s="1823"/>
      <c r="F653" s="1823"/>
      <c r="G653" s="1823"/>
      <c r="H653" s="1023"/>
      <c r="I653" s="1147"/>
    </row>
    <row r="654" spans="1:9">
      <c r="A654" s="446"/>
      <c r="B654" s="446"/>
      <c r="C654" s="487"/>
      <c r="D654" s="446"/>
      <c r="E654" s="446"/>
      <c r="F654" s="446"/>
      <c r="I654" s="490"/>
    </row>
    <row r="655" spans="1:9">
      <c r="C655" s="482"/>
      <c r="D655" s="1829" t="s">
        <v>1144</v>
      </c>
      <c r="E655" s="1829"/>
      <c r="F655" s="1829"/>
      <c r="I655" s="490"/>
    </row>
    <row r="656" spans="1:9">
      <c r="A656" s="483"/>
      <c r="B656" s="483"/>
      <c r="C656" s="483"/>
      <c r="D656" s="1821" t="s">
        <v>1145</v>
      </c>
      <c r="E656" s="1821"/>
      <c r="F656" s="1821"/>
      <c r="I656" s="490"/>
    </row>
    <row r="657" spans="1:9">
      <c r="A657" s="483"/>
      <c r="B657" s="483"/>
      <c r="C657" s="483"/>
      <c r="D657" s="446"/>
      <c r="E657" s="446"/>
      <c r="F657" s="446"/>
      <c r="I657" s="490"/>
    </row>
    <row r="658" spans="1:9" ht="12.75" customHeight="1">
      <c r="B658" s="485" t="s">
        <v>2761</v>
      </c>
      <c r="C658" s="487"/>
      <c r="D658" s="1820" t="s">
        <v>1279</v>
      </c>
      <c r="E658" s="1820"/>
      <c r="F658" s="1820"/>
      <c r="I658" s="490"/>
    </row>
    <row r="659" spans="1:9">
      <c r="D659" s="1820"/>
      <c r="E659" s="1820"/>
      <c r="F659" s="1820"/>
      <c r="I659" s="490"/>
    </row>
    <row r="660" spans="1:9">
      <c r="D660" s="1820"/>
      <c r="E660" s="1820"/>
      <c r="F660" s="1820"/>
      <c r="I660" s="490"/>
    </row>
    <row r="661" spans="1:9">
      <c r="D661" s="1820"/>
      <c r="E661" s="1820"/>
      <c r="F661" s="1820"/>
      <c r="I661" s="490"/>
    </row>
    <row r="662" spans="1:9" ht="14.45" customHeight="1">
      <c r="A662" s="484"/>
      <c r="B662" s="484"/>
      <c r="C662" s="487"/>
      <c r="D662" s="385"/>
      <c r="E662" s="385"/>
      <c r="F662" s="385"/>
      <c r="I662" s="490"/>
    </row>
    <row r="663" spans="1:9" ht="12.75" customHeight="1">
      <c r="A663" s="483"/>
      <c r="B663" s="485" t="s">
        <v>2761</v>
      </c>
      <c r="C663" s="487"/>
      <c r="D663" s="1820" t="s">
        <v>1281</v>
      </c>
      <c r="E663" s="1820"/>
      <c r="F663" s="1820"/>
      <c r="I663" s="490"/>
    </row>
    <row r="664" spans="1:9" ht="14.25">
      <c r="A664" s="483"/>
      <c r="B664" s="484"/>
      <c r="C664" s="487"/>
      <c r="D664" s="1820"/>
      <c r="E664" s="1820"/>
      <c r="F664" s="1820"/>
      <c r="I664" s="490"/>
    </row>
    <row r="665" spans="1:9" ht="14.25">
      <c r="A665" s="483"/>
      <c r="B665" s="484"/>
      <c r="C665" s="487"/>
      <c r="D665" s="1820"/>
      <c r="E665" s="1820"/>
      <c r="F665" s="1820"/>
      <c r="I665" s="490"/>
    </row>
    <row r="666" spans="1:9" ht="14.25">
      <c r="A666" s="483"/>
      <c r="B666" s="484"/>
      <c r="C666" s="487"/>
      <c r="D666" s="1820"/>
      <c r="E666" s="1820"/>
      <c r="F666" s="1820"/>
      <c r="I666" s="490"/>
    </row>
    <row r="667" spans="1:9" ht="14.25">
      <c r="A667" s="483"/>
      <c r="B667" s="484"/>
      <c r="C667" s="487"/>
      <c r="D667" s="1820"/>
      <c r="E667" s="1820"/>
      <c r="F667" s="1820"/>
      <c r="I667" s="490"/>
    </row>
    <row r="668" spans="1:9" ht="14.25" customHeight="1">
      <c r="A668" s="483"/>
      <c r="B668" s="484"/>
      <c r="C668" s="487"/>
      <c r="F668" s="386"/>
      <c r="I668" s="490"/>
    </row>
    <row r="669" spans="1:9" ht="12.75" customHeight="1">
      <c r="A669" s="483"/>
      <c r="B669" s="485" t="s">
        <v>2761</v>
      </c>
      <c r="C669" s="487"/>
      <c r="D669" s="1820" t="s">
        <v>1280</v>
      </c>
      <c r="E669" s="1820"/>
      <c r="F669" s="1820"/>
      <c r="I669" s="490"/>
    </row>
    <row r="670" spans="1:9" ht="14.25">
      <c r="A670" s="483"/>
      <c r="B670" s="484"/>
      <c r="C670" s="487"/>
      <c r="D670" s="1820"/>
      <c r="E670" s="1820"/>
      <c r="F670" s="1820"/>
      <c r="I670" s="490"/>
    </row>
    <row r="671" spans="1:9" ht="14.25">
      <c r="A671" s="484"/>
      <c r="B671" s="484"/>
      <c r="C671" s="487"/>
      <c r="D671" s="1820"/>
      <c r="E671" s="1820"/>
      <c r="F671" s="1820"/>
      <c r="I671" s="490"/>
    </row>
    <row r="672" spans="1:9" ht="14.25">
      <c r="A672" s="484"/>
      <c r="B672" s="484"/>
      <c r="C672" s="487"/>
      <c r="D672" s="1820"/>
      <c r="E672" s="1820"/>
      <c r="F672" s="1820"/>
      <c r="I672" s="490"/>
    </row>
    <row r="673" spans="1:11" ht="14.25">
      <c r="A673" s="484"/>
      <c r="B673" s="484"/>
      <c r="C673" s="487"/>
      <c r="D673" s="445"/>
      <c r="E673" s="445"/>
      <c r="F673" s="445"/>
      <c r="I673" s="490"/>
    </row>
    <row r="674" spans="1:11" ht="12.75" customHeight="1">
      <c r="A674" s="483"/>
      <c r="B674" s="485" t="s">
        <v>2761</v>
      </c>
      <c r="C674" s="487"/>
      <c r="D674" s="1820" t="s">
        <v>2022</v>
      </c>
      <c r="E674" s="1820"/>
      <c r="F674" s="1820"/>
      <c r="I674" s="490"/>
    </row>
    <row r="675" spans="1:11" ht="12.75" customHeight="1">
      <c r="A675" s="483"/>
      <c r="B675" s="484"/>
      <c r="C675" s="487"/>
      <c r="D675" s="1820"/>
      <c r="E675" s="1820"/>
      <c r="F675" s="1820"/>
      <c r="I675" s="490"/>
    </row>
    <row r="676" spans="1:11" ht="12.75" customHeight="1">
      <c r="A676" s="483"/>
      <c r="B676" s="484"/>
      <c r="C676" s="487"/>
      <c r="D676" s="1820"/>
      <c r="E676" s="1820"/>
      <c r="F676" s="1820"/>
      <c r="I676" s="490"/>
    </row>
    <row r="677" spans="1:11" ht="12.75" customHeight="1">
      <c r="A677" s="483"/>
      <c r="B677" s="484"/>
      <c r="C677" s="487"/>
      <c r="D677" s="1820"/>
      <c r="E677" s="1820"/>
      <c r="F677" s="1820"/>
      <c r="I677" s="490"/>
    </row>
    <row r="678" spans="1:11" ht="12.75" customHeight="1">
      <c r="A678" s="483"/>
      <c r="B678" s="484"/>
      <c r="C678" s="487"/>
      <c r="D678" s="1820"/>
      <c r="E678" s="1820"/>
      <c r="F678" s="1820"/>
      <c r="I678" s="490"/>
    </row>
    <row r="679" spans="1:11" ht="12.75" customHeight="1">
      <c r="A679" s="483"/>
      <c r="B679" s="484"/>
      <c r="C679" s="487"/>
      <c r="D679" s="1820"/>
      <c r="E679" s="1820"/>
      <c r="F679" s="1820"/>
      <c r="I679" s="490"/>
    </row>
    <row r="680" spans="1:11" ht="12.75" customHeight="1">
      <c r="A680" s="483"/>
      <c r="B680" s="484"/>
      <c r="C680" s="487"/>
      <c r="D680" s="1820"/>
      <c r="E680" s="1820"/>
      <c r="F680" s="1820"/>
      <c r="I680" s="490"/>
    </row>
    <row r="681" spans="1:11" ht="12.75" customHeight="1">
      <c r="A681" s="483"/>
      <c r="B681" s="484"/>
      <c r="C681" s="487"/>
      <c r="D681" s="1820"/>
      <c r="E681" s="1820"/>
      <c r="F681" s="1820"/>
      <c r="I681" s="490"/>
    </row>
    <row r="682" spans="1:11" ht="12.75" customHeight="1">
      <c r="A682" s="483"/>
      <c r="B682" s="484"/>
      <c r="C682" s="487"/>
      <c r="D682" s="1820"/>
      <c r="E682" s="1820"/>
      <c r="F682" s="1820"/>
      <c r="I682" s="490"/>
    </row>
    <row r="683" spans="1:11">
      <c r="A683" s="487"/>
      <c r="B683" s="487"/>
      <c r="C683" s="487"/>
      <c r="D683" s="446"/>
      <c r="E683" s="446"/>
      <c r="F683" s="446"/>
      <c r="I683" s="490"/>
    </row>
    <row r="684" spans="1:11">
      <c r="A684" s="1823" t="s">
        <v>1057</v>
      </c>
      <c r="B684" s="1823"/>
      <c r="C684" s="1823"/>
      <c r="D684" s="1823"/>
      <c r="E684" s="1823"/>
      <c r="F684" s="1823"/>
      <c r="G684" s="1823"/>
      <c r="H684" s="1025"/>
      <c r="I684" s="1151"/>
      <c r="J684" s="501"/>
      <c r="K684" s="501"/>
    </row>
    <row r="685" spans="1:11">
      <c r="A685" s="448"/>
      <c r="B685" s="448"/>
      <c r="C685" s="448"/>
      <c r="D685" s="448"/>
      <c r="E685" s="448"/>
      <c r="F685" s="448"/>
      <c r="G685" s="448"/>
      <c r="H685" s="501"/>
      <c r="I685" s="483"/>
      <c r="J685" s="501"/>
      <c r="K685" s="501"/>
    </row>
    <row r="686" spans="1:11">
      <c r="C686" s="482"/>
      <c r="D686" s="1829" t="s">
        <v>99</v>
      </c>
      <c r="E686" s="1829"/>
      <c r="F686" s="1829"/>
      <c r="H686" s="501"/>
      <c r="I686" s="483"/>
      <c r="J686" s="501"/>
      <c r="K686" s="501"/>
    </row>
    <row r="687" spans="1:11">
      <c r="A687" s="482"/>
      <c r="B687" s="482"/>
      <c r="C687" s="482"/>
      <c r="D687" s="1829" t="s">
        <v>123</v>
      </c>
      <c r="E687" s="1829"/>
      <c r="F687" s="1829"/>
      <c r="H687" s="501"/>
      <c r="I687" s="483"/>
      <c r="J687" s="501"/>
      <c r="K687" s="501"/>
    </row>
    <row r="688" spans="1:11">
      <c r="A688" s="483"/>
      <c r="B688" s="483"/>
      <c r="C688" s="483"/>
      <c r="D688" s="1821" t="s">
        <v>1074</v>
      </c>
      <c r="E688" s="1821"/>
      <c r="F688" s="1821"/>
      <c r="H688" s="501"/>
      <c r="I688" s="483"/>
      <c r="J688" s="501"/>
      <c r="K688" s="501"/>
    </row>
    <row r="689" spans="1:11">
      <c r="A689" s="483"/>
      <c r="B689" s="483"/>
      <c r="C689" s="483"/>
      <c r="H689" s="501"/>
      <c r="I689" s="483"/>
      <c r="J689" s="501"/>
      <c r="K689" s="501"/>
    </row>
    <row r="690" spans="1:11" ht="14.25">
      <c r="A690" s="484"/>
      <c r="B690" s="485" t="s">
        <v>2761</v>
      </c>
      <c r="C690" s="483"/>
      <c r="D690" s="1821" t="s">
        <v>883</v>
      </c>
      <c r="E690" s="1821"/>
      <c r="F690" s="1821"/>
      <c r="H690" s="501"/>
      <c r="I690" s="483"/>
      <c r="J690" s="501"/>
      <c r="K690" s="501"/>
    </row>
    <row r="691" spans="1:11">
      <c r="A691" s="483"/>
      <c r="B691" s="483"/>
      <c r="C691" s="483"/>
      <c r="D691" s="1821" t="s">
        <v>892</v>
      </c>
      <c r="E691" s="1821"/>
      <c r="F691" s="1821"/>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c r="A694" s="483"/>
      <c r="B694" s="483"/>
      <c r="C694" s="483"/>
      <c r="D694" s="502"/>
      <c r="E694" s="446"/>
      <c r="H694" s="501"/>
      <c r="I694" s="483"/>
      <c r="J694" s="501"/>
      <c r="K694" s="501"/>
    </row>
    <row r="695" spans="1:11" ht="14.25">
      <c r="A695" s="484"/>
      <c r="B695" s="485" t="s">
        <v>2761</v>
      </c>
      <c r="C695" s="483"/>
      <c r="D695" s="1820" t="s">
        <v>2023</v>
      </c>
      <c r="E695" s="1820"/>
      <c r="F695" s="1820"/>
      <c r="H695" s="501"/>
      <c r="I695" s="483"/>
      <c r="J695" s="501"/>
      <c r="K695" s="501"/>
    </row>
    <row r="696" spans="1:11">
      <c r="A696" s="490"/>
      <c r="B696" s="490"/>
      <c r="C696" s="483"/>
      <c r="D696" s="1820"/>
      <c r="E696" s="1820"/>
      <c r="F696" s="1820"/>
      <c r="H696" s="501"/>
      <c r="I696" s="483"/>
      <c r="J696" s="501"/>
      <c r="K696" s="501"/>
    </row>
    <row r="697" spans="1:11">
      <c r="A697" s="483"/>
      <c r="B697" s="483"/>
      <c r="C697" s="483"/>
      <c r="D697" s="1820"/>
      <c r="E697" s="1820"/>
      <c r="F697" s="1820"/>
      <c r="H697" s="501"/>
      <c r="I697" s="483"/>
      <c r="J697" s="501"/>
      <c r="K697" s="501"/>
    </row>
    <row r="698" spans="1:11">
      <c r="A698" s="483"/>
      <c r="B698" s="483"/>
      <c r="C698" s="483"/>
      <c r="H698" s="501"/>
      <c r="J698" s="501"/>
      <c r="K698" s="501"/>
    </row>
    <row r="699" spans="1:11" ht="14.25">
      <c r="A699" s="484"/>
      <c r="B699" s="485" t="s">
        <v>2760</v>
      </c>
      <c r="C699" s="483"/>
      <c r="D699" s="1821" t="s">
        <v>915</v>
      </c>
      <c r="E699" s="1821"/>
      <c r="F699" s="1821"/>
      <c r="H699" s="501"/>
      <c r="I699" s="483"/>
      <c r="J699" s="501"/>
      <c r="K699" s="501"/>
    </row>
    <row r="700" spans="1:11" ht="14.25">
      <c r="A700" s="484"/>
      <c r="B700" s="484"/>
      <c r="C700" s="483"/>
      <c r="D700" s="1821" t="s">
        <v>892</v>
      </c>
      <c r="E700" s="1821"/>
      <c r="F700" s="1821"/>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ht="14.25">
      <c r="A703" s="484"/>
      <c r="B703" s="485" t="s">
        <v>2761</v>
      </c>
      <c r="C703" s="483"/>
      <c r="D703" s="1821" t="s">
        <v>2396</v>
      </c>
      <c r="E703" s="1821"/>
      <c r="F703" s="1821"/>
      <c r="H703" s="501"/>
      <c r="I703" s="483"/>
      <c r="J703" s="501"/>
      <c r="K703" s="501"/>
    </row>
    <row r="704" spans="1:11" ht="14.25">
      <c r="A704" s="484"/>
      <c r="B704" s="484"/>
      <c r="C704" s="483"/>
      <c r="D704" s="1821" t="s">
        <v>892</v>
      </c>
      <c r="E704" s="1821"/>
      <c r="F704" s="1821"/>
      <c r="H704" s="501"/>
      <c r="I704" s="483"/>
      <c r="J704" s="501"/>
      <c r="K704" s="501"/>
    </row>
    <row r="705" spans="1:11">
      <c r="A705" s="483"/>
      <c r="B705" s="483"/>
      <c r="C705" s="483"/>
      <c r="E705" s="1031" t="s">
        <v>2397</v>
      </c>
      <c r="F705" s="404"/>
      <c r="H705" s="501"/>
      <c r="I705" s="483"/>
      <c r="J705" s="501"/>
      <c r="K705" s="501"/>
    </row>
    <row r="706" spans="1:11">
      <c r="A706" s="483"/>
      <c r="B706" s="483"/>
      <c r="C706" s="483"/>
      <c r="D706" s="404"/>
      <c r="H706" s="501"/>
      <c r="I706" s="483"/>
      <c r="J706" s="501"/>
      <c r="K706" s="501"/>
    </row>
    <row r="707" spans="1:11" ht="14.25">
      <c r="A707" s="484"/>
      <c r="B707" s="485" t="s">
        <v>2761</v>
      </c>
      <c r="C707" s="483"/>
      <c r="D707" s="1820" t="s">
        <v>2194</v>
      </c>
      <c r="E707" s="1820"/>
      <c r="F707" s="1820"/>
      <c r="H707" s="501"/>
      <c r="I707" s="483"/>
      <c r="J707" s="501"/>
      <c r="K707" s="501"/>
    </row>
    <row r="708" spans="1:11">
      <c r="A708" s="483"/>
      <c r="B708" s="483"/>
      <c r="C708" s="483"/>
      <c r="D708" s="1820"/>
      <c r="E708" s="1820"/>
      <c r="F708" s="1820"/>
      <c r="H708" s="501"/>
      <c r="I708" s="483"/>
      <c r="J708" s="501"/>
      <c r="K708" s="501"/>
    </row>
    <row r="709" spans="1:11">
      <c r="A709" s="483"/>
      <c r="B709" s="483"/>
      <c r="C709" s="483"/>
      <c r="D709" s="1820"/>
      <c r="E709" s="1820"/>
      <c r="F709" s="1820"/>
      <c r="H709" s="501"/>
      <c r="I709" s="483"/>
      <c r="J709" s="501"/>
      <c r="K709" s="501"/>
    </row>
    <row r="710" spans="1:11">
      <c r="A710" s="483"/>
      <c r="B710" s="483"/>
      <c r="C710" s="483"/>
      <c r="D710" s="1820"/>
      <c r="E710" s="1820"/>
      <c r="F710" s="1820"/>
      <c r="H710" s="501"/>
      <c r="I710" s="483"/>
      <c r="J710" s="501"/>
      <c r="K710" s="501"/>
    </row>
    <row r="711" spans="1:11">
      <c r="A711" s="483"/>
      <c r="B711" s="483"/>
      <c r="C711" s="483"/>
      <c r="D711" s="1820"/>
      <c r="E711" s="1820"/>
      <c r="F711" s="1820"/>
      <c r="H711" s="501"/>
      <c r="I711" s="483"/>
      <c r="J711" s="501"/>
      <c r="K711" s="501"/>
    </row>
    <row r="712" spans="1:11">
      <c r="A712" s="483"/>
      <c r="B712" s="483"/>
      <c r="C712" s="483"/>
      <c r="D712" s="1820"/>
      <c r="E712" s="1820"/>
      <c r="F712" s="1820"/>
      <c r="H712" s="501"/>
      <c r="I712" s="483"/>
      <c r="J712" s="501"/>
      <c r="K712" s="501"/>
    </row>
    <row r="713" spans="1:11">
      <c r="A713" s="483"/>
      <c r="B713" s="483"/>
      <c r="C713" s="483"/>
      <c r="D713" s="445"/>
      <c r="E713" s="445"/>
      <c r="F713" s="445"/>
      <c r="H713" s="501"/>
      <c r="I713" s="483"/>
      <c r="J713" s="501"/>
      <c r="K713" s="501"/>
    </row>
    <row r="714" spans="1:11">
      <c r="A714" s="483"/>
      <c r="B714" s="485" t="s">
        <v>2761</v>
      </c>
      <c r="C714" s="483"/>
      <c r="D714" s="1820" t="s">
        <v>1199</v>
      </c>
      <c r="E714" s="1820"/>
      <c r="F714" s="1820"/>
      <c r="H714" s="501"/>
      <c r="I714" s="483"/>
      <c r="J714" s="501"/>
      <c r="K714" s="501"/>
    </row>
    <row r="715" spans="1:11">
      <c r="A715" s="483"/>
      <c r="B715" s="483"/>
      <c r="C715" s="483"/>
      <c r="D715" s="1820"/>
      <c r="E715" s="1820"/>
      <c r="F715" s="1820"/>
      <c r="H715" s="501"/>
      <c r="I715" s="483"/>
      <c r="J715" s="501"/>
      <c r="K715" s="501"/>
    </row>
    <row r="716" spans="1:11">
      <c r="A716" s="483"/>
      <c r="B716" s="483"/>
      <c r="C716" s="483"/>
      <c r="D716" s="445"/>
      <c r="E716" s="445"/>
      <c r="F716" s="445"/>
      <c r="H716" s="501"/>
      <c r="I716" s="483"/>
      <c r="J716" s="501"/>
      <c r="K716" s="501"/>
    </row>
    <row r="717" spans="1:11" ht="14.25">
      <c r="A717" s="484"/>
      <c r="B717" s="485" t="s">
        <v>2761</v>
      </c>
      <c r="C717" s="483"/>
      <c r="D717" s="1820" t="s">
        <v>1075</v>
      </c>
      <c r="E717" s="1820"/>
      <c r="F717" s="1820"/>
      <c r="H717" s="501"/>
      <c r="I717" s="483"/>
      <c r="J717" s="501"/>
      <c r="K717" s="501"/>
    </row>
    <row r="718" spans="1:11">
      <c r="A718" s="483"/>
      <c r="B718" s="483"/>
      <c r="C718" s="483"/>
      <c r="D718" s="1820"/>
      <c r="E718" s="1820"/>
      <c r="F718" s="1820"/>
      <c r="H718" s="501"/>
      <c r="I718" s="483"/>
      <c r="J718" s="501"/>
      <c r="K718" s="501"/>
    </row>
    <row r="719" spans="1:11">
      <c r="A719" s="483"/>
      <c r="B719" s="483"/>
      <c r="C719" s="483"/>
      <c r="D719" s="1820"/>
      <c r="E719" s="1820"/>
      <c r="F719" s="1820"/>
      <c r="H719" s="501"/>
      <c r="I719" s="483"/>
      <c r="J719" s="501"/>
      <c r="K719" s="501"/>
    </row>
    <row r="720" spans="1:11" ht="15" customHeight="1">
      <c r="A720" s="483"/>
      <c r="B720" s="483"/>
      <c r="C720" s="483"/>
      <c r="D720" s="1820"/>
      <c r="E720" s="1820"/>
      <c r="F720" s="1820"/>
      <c r="H720" s="501"/>
      <c r="I720" s="483"/>
      <c r="J720" s="501"/>
      <c r="K720" s="501"/>
    </row>
    <row r="721" spans="1:11" ht="15" customHeight="1">
      <c r="A721" s="483"/>
      <c r="B721" s="483"/>
      <c r="C721" s="483"/>
      <c r="D721" s="1820"/>
      <c r="E721" s="1820"/>
      <c r="F721" s="1820"/>
      <c r="H721" s="501"/>
      <c r="I721" s="483"/>
      <c r="J721" s="501"/>
      <c r="K721" s="501"/>
    </row>
    <row r="722" spans="1:11">
      <c r="A722" s="483"/>
      <c r="B722" s="483"/>
      <c r="C722" s="483"/>
      <c r="D722" s="1820"/>
      <c r="E722" s="1820"/>
      <c r="F722" s="1820"/>
      <c r="H722" s="501"/>
      <c r="I722" s="483"/>
      <c r="J722" s="501"/>
      <c r="K722" s="501"/>
    </row>
    <row r="723" spans="1:11">
      <c r="A723" s="483"/>
      <c r="B723" s="483"/>
      <c r="C723" s="483"/>
      <c r="D723" s="1820"/>
      <c r="E723" s="1820"/>
      <c r="F723" s="1820"/>
      <c r="H723" s="501"/>
      <c r="I723" s="483"/>
      <c r="J723" s="501"/>
      <c r="K723" s="501"/>
    </row>
    <row r="724" spans="1:11">
      <c r="A724" s="483"/>
      <c r="B724" s="483"/>
      <c r="C724" s="483"/>
      <c r="D724" s="1820"/>
      <c r="E724" s="1820"/>
      <c r="F724" s="1820"/>
      <c r="H724" s="501"/>
      <c r="I724" s="483"/>
      <c r="J724" s="501"/>
      <c r="K724" s="501"/>
    </row>
    <row r="725" spans="1:11" ht="15" customHeight="1">
      <c r="A725" s="483"/>
      <c r="B725" s="483"/>
      <c r="C725" s="483"/>
      <c r="D725" s="1820"/>
      <c r="E725" s="1820"/>
      <c r="F725" s="1820"/>
      <c r="H725" s="501"/>
      <c r="I725" s="483"/>
      <c r="J725" s="501"/>
      <c r="K725" s="501"/>
    </row>
    <row r="726" spans="1:11">
      <c r="A726" s="483"/>
      <c r="B726" s="483"/>
      <c r="C726" s="483"/>
      <c r="D726" s="1820"/>
      <c r="E726" s="1820"/>
      <c r="F726" s="1820"/>
      <c r="H726" s="501"/>
      <c r="I726" s="483"/>
      <c r="J726" s="501"/>
      <c r="K726" s="501"/>
    </row>
    <row r="727" spans="1:11">
      <c r="A727" s="483"/>
      <c r="B727" s="483"/>
      <c r="C727" s="483"/>
      <c r="D727" s="1820"/>
      <c r="E727" s="1820"/>
      <c r="F727" s="1820"/>
      <c r="H727" s="501"/>
      <c r="I727" s="483"/>
      <c r="J727" s="501"/>
      <c r="K727" s="501"/>
    </row>
    <row r="728" spans="1:11">
      <c r="A728" s="483"/>
      <c r="B728" s="483"/>
      <c r="C728" s="483"/>
      <c r="D728" s="1820"/>
      <c r="E728" s="1820"/>
      <c r="F728" s="1820"/>
      <c r="H728" s="501"/>
      <c r="I728" s="483"/>
      <c r="J728" s="501"/>
      <c r="K728" s="501"/>
    </row>
    <row r="729" spans="1:11">
      <c r="A729" s="483"/>
      <c r="B729" s="483"/>
      <c r="C729" s="483"/>
      <c r="D729" s="1820"/>
      <c r="E729" s="1820"/>
      <c r="F729" s="1820"/>
      <c r="H729" s="501"/>
      <c r="I729" s="483"/>
      <c r="J729" s="501"/>
      <c r="K729" s="501"/>
    </row>
    <row r="730" spans="1:11">
      <c r="A730" s="483"/>
      <c r="B730" s="485" t="s">
        <v>2761</v>
      </c>
      <c r="C730" s="483"/>
      <c r="D730" s="1820" t="s">
        <v>2389</v>
      </c>
      <c r="E730" s="1820"/>
      <c r="F730" s="1820"/>
      <c r="H730" s="501"/>
      <c r="I730" s="483"/>
      <c r="J730" s="501"/>
      <c r="K730" s="501"/>
    </row>
    <row r="731" spans="1:11">
      <c r="A731" s="483"/>
      <c r="B731" s="483"/>
      <c r="C731" s="483"/>
      <c r="D731" s="1820"/>
      <c r="E731" s="1820"/>
      <c r="F731" s="1820"/>
      <c r="H731" s="501"/>
      <c r="I731" s="483"/>
      <c r="J731" s="501"/>
      <c r="K731" s="501"/>
    </row>
    <row r="732" spans="1:11">
      <c r="A732" s="483"/>
      <c r="B732" s="483"/>
      <c r="C732" s="483"/>
      <c r="D732" s="1820"/>
      <c r="E732" s="1820"/>
      <c r="F732" s="1820"/>
      <c r="H732" s="501"/>
      <c r="I732" s="483"/>
      <c r="J732" s="501"/>
      <c r="K732" s="501"/>
    </row>
    <row r="733" spans="1:11">
      <c r="A733" s="483"/>
      <c r="B733" s="483"/>
      <c r="C733" s="483"/>
      <c r="D733" s="445"/>
      <c r="E733" s="445"/>
      <c r="F733" s="445"/>
      <c r="H733" s="501"/>
      <c r="I733" s="483"/>
      <c r="J733" s="501"/>
      <c r="K733" s="501"/>
    </row>
    <row r="734" spans="1:11">
      <c r="A734" s="483"/>
      <c r="B734" s="485" t="s">
        <v>2761</v>
      </c>
      <c r="C734" s="483"/>
      <c r="D734" s="1820" t="s">
        <v>2388</v>
      </c>
      <c r="E734" s="1820"/>
      <c r="F734" s="1820"/>
      <c r="H734" s="501"/>
      <c r="I734" s="483"/>
      <c r="J734" s="501"/>
      <c r="K734" s="501"/>
    </row>
    <row r="735" spans="1:11">
      <c r="A735" s="483"/>
      <c r="B735" s="483"/>
      <c r="C735" s="483"/>
      <c r="D735" s="1820"/>
      <c r="E735" s="1820"/>
      <c r="F735" s="1820"/>
      <c r="H735" s="501"/>
      <c r="I735" s="483"/>
      <c r="J735" s="501"/>
      <c r="K735" s="501"/>
    </row>
    <row r="736" spans="1:11">
      <c r="A736" s="483"/>
      <c r="B736" s="483"/>
      <c r="C736" s="483"/>
      <c r="D736" s="1820"/>
      <c r="E736" s="1820"/>
      <c r="F736" s="1820"/>
      <c r="H736" s="501"/>
      <c r="I736" s="483"/>
      <c r="J736" s="501"/>
      <c r="K736" s="501"/>
    </row>
    <row r="737" spans="1:11">
      <c r="A737" s="483"/>
      <c r="B737" s="483"/>
      <c r="C737" s="483"/>
      <c r="H737" s="501"/>
      <c r="I737" s="483"/>
      <c r="J737" s="501"/>
      <c r="K737" s="501"/>
    </row>
    <row r="738" spans="1:11">
      <c r="A738" s="483"/>
      <c r="B738" s="485" t="s">
        <v>2761</v>
      </c>
      <c r="C738" s="483"/>
      <c r="D738" s="1820" t="s">
        <v>2387</v>
      </c>
      <c r="E738" s="1820"/>
      <c r="F738" s="1820"/>
      <c r="H738" s="501"/>
      <c r="I738" s="483"/>
      <c r="J738" s="501"/>
      <c r="K738" s="501"/>
    </row>
    <row r="739" spans="1:11">
      <c r="A739" s="483"/>
      <c r="B739" s="483"/>
      <c r="C739" s="483"/>
      <c r="D739" s="1820"/>
      <c r="E739" s="1820"/>
      <c r="F739" s="1820"/>
      <c r="H739" s="501"/>
      <c r="I739" s="483"/>
      <c r="J739" s="501"/>
      <c r="K739" s="501"/>
    </row>
    <row r="740" spans="1:11">
      <c r="A740" s="483"/>
      <c r="B740" s="483"/>
      <c r="C740" s="483"/>
      <c r="D740" s="1820"/>
      <c r="E740" s="1820"/>
      <c r="F740" s="1820"/>
      <c r="H740" s="501"/>
      <c r="I740" s="483"/>
      <c r="J740" s="501"/>
      <c r="K740" s="501"/>
    </row>
    <row r="741" spans="1:11">
      <c r="A741" s="483"/>
      <c r="B741" s="483"/>
      <c r="C741" s="483"/>
      <c r="D741" s="1820"/>
      <c r="E741" s="1820"/>
      <c r="F741" s="1820"/>
      <c r="H741" s="501"/>
      <c r="I741" s="483"/>
      <c r="J741" s="501"/>
      <c r="K741" s="501"/>
    </row>
    <row r="742" spans="1:11">
      <c r="A742" s="483"/>
      <c r="B742" s="483"/>
      <c r="C742" s="483"/>
      <c r="H742" s="501"/>
      <c r="I742" s="483"/>
      <c r="J742" s="501"/>
      <c r="K742" s="501"/>
    </row>
    <row r="743" spans="1:11" ht="14.25">
      <c r="A743" s="484"/>
      <c r="B743" s="485" t="s">
        <v>2761</v>
      </c>
      <c r="C743" s="483"/>
      <c r="D743" s="1820" t="s">
        <v>1076</v>
      </c>
      <c r="E743" s="1820"/>
      <c r="F743" s="1820"/>
      <c r="H743" s="501"/>
      <c r="I743" s="483"/>
      <c r="J743" s="501"/>
      <c r="K743" s="501"/>
    </row>
    <row r="744" spans="1:11">
      <c r="A744" s="483"/>
      <c r="B744" s="483"/>
      <c r="C744" s="483"/>
      <c r="D744" s="1820"/>
      <c r="E744" s="1820"/>
      <c r="F744" s="1820"/>
      <c r="H744" s="501"/>
      <c r="I744" s="483"/>
      <c r="J744" s="501"/>
      <c r="K744" s="501"/>
    </row>
    <row r="745" spans="1:11">
      <c r="A745" s="483"/>
      <c r="B745" s="483"/>
      <c r="C745" s="483"/>
      <c r="D745" s="1820"/>
      <c r="E745" s="1820"/>
      <c r="F745" s="1820"/>
      <c r="H745" s="501"/>
      <c r="I745" s="483"/>
      <c r="J745" s="501"/>
      <c r="K745" s="501"/>
    </row>
    <row r="746" spans="1:11">
      <c r="A746" s="483"/>
      <c r="B746" s="483"/>
      <c r="C746" s="483"/>
      <c r="D746" s="1820"/>
      <c r="E746" s="1820"/>
      <c r="F746" s="1820"/>
      <c r="H746" s="501"/>
      <c r="I746" s="483"/>
      <c r="J746" s="501"/>
      <c r="K746" s="501"/>
    </row>
    <row r="747" spans="1:11">
      <c r="A747" s="483"/>
      <c r="B747" s="483"/>
      <c r="C747" s="483"/>
      <c r="D747" s="1820"/>
      <c r="E747" s="1820"/>
      <c r="F747" s="1820"/>
      <c r="H747" s="501"/>
      <c r="I747" s="483"/>
      <c r="J747" s="501"/>
      <c r="K747" s="501"/>
    </row>
    <row r="748" spans="1:11">
      <c r="A748" s="483"/>
      <c r="B748" s="483"/>
      <c r="C748" s="483"/>
      <c r="D748" s="492"/>
      <c r="H748" s="501"/>
      <c r="I748" s="483"/>
      <c r="J748" s="501"/>
      <c r="K748" s="501"/>
    </row>
    <row r="749" spans="1:11" ht="14.25">
      <c r="A749" s="484"/>
      <c r="B749" s="485" t="s">
        <v>2761</v>
      </c>
      <c r="C749" s="483"/>
      <c r="D749" s="1820" t="s">
        <v>2097</v>
      </c>
      <c r="E749" s="1820"/>
      <c r="F749" s="1820"/>
      <c r="H749" s="501"/>
      <c r="I749" s="483"/>
      <c r="J749" s="501"/>
      <c r="K749" s="501"/>
    </row>
    <row r="750" spans="1:11">
      <c r="A750" s="483"/>
      <c r="B750" s="483"/>
      <c r="C750" s="483"/>
      <c r="D750" s="1820"/>
      <c r="E750" s="1820"/>
      <c r="F750" s="1820"/>
      <c r="H750" s="501"/>
      <c r="I750" s="483"/>
      <c r="J750" s="501"/>
      <c r="K750" s="501"/>
    </row>
    <row r="751" spans="1:11">
      <c r="A751" s="483"/>
      <c r="B751" s="483"/>
      <c r="C751" s="483"/>
      <c r="D751" s="1820"/>
      <c r="E751" s="1820"/>
      <c r="F751" s="1820"/>
      <c r="H751" s="501"/>
      <c r="I751" s="483"/>
      <c r="J751" s="501"/>
      <c r="K751" s="501"/>
    </row>
    <row r="752" spans="1:11">
      <c r="A752" s="483"/>
      <c r="B752" s="483"/>
      <c r="C752" s="483"/>
      <c r="D752" s="1820"/>
      <c r="E752" s="1820"/>
      <c r="F752" s="1820"/>
      <c r="H752" s="501"/>
      <c r="I752" s="483"/>
      <c r="J752" s="501"/>
      <c r="K752" s="501"/>
    </row>
    <row r="753" spans="1:11">
      <c r="A753" s="483"/>
      <c r="B753" s="483"/>
      <c r="C753" s="483"/>
      <c r="D753" s="1820"/>
      <c r="E753" s="1820"/>
      <c r="F753" s="1820"/>
      <c r="H753" s="501"/>
      <c r="I753" s="483"/>
      <c r="J753" s="501"/>
      <c r="K753" s="501"/>
    </row>
    <row r="754" spans="1:11">
      <c r="A754" s="483"/>
      <c r="B754" s="483"/>
      <c r="C754" s="483"/>
      <c r="D754" s="1820"/>
      <c r="E754" s="1820"/>
      <c r="F754" s="1820"/>
      <c r="H754" s="501"/>
      <c r="I754" s="483"/>
      <c r="J754" s="501"/>
      <c r="K754" s="501"/>
    </row>
    <row r="755" spans="1:11">
      <c r="A755" s="483"/>
      <c r="B755" s="483"/>
      <c r="C755" s="483"/>
      <c r="D755" s="1820"/>
      <c r="E755" s="1820"/>
      <c r="F755" s="1820"/>
      <c r="H755" s="501"/>
      <c r="I755" s="483"/>
      <c r="J755" s="501"/>
      <c r="K755" s="501"/>
    </row>
    <row r="756" spans="1:11">
      <c r="A756" s="483"/>
      <c r="B756" s="483"/>
      <c r="C756" s="483"/>
      <c r="D756" s="1858" t="s">
        <v>2606</v>
      </c>
      <c r="E756" s="1858"/>
      <c r="F756" s="1858"/>
      <c r="H756" s="501"/>
      <c r="I756" s="483"/>
      <c r="J756" s="501"/>
      <c r="K756" s="501"/>
    </row>
    <row r="757" spans="1:11">
      <c r="A757" s="483"/>
      <c r="B757" s="483"/>
      <c r="C757" s="483"/>
      <c r="D757" s="341"/>
      <c r="H757" s="501"/>
      <c r="I757" s="483"/>
      <c r="J757" s="501"/>
      <c r="K757" s="501"/>
    </row>
    <row r="758" spans="1:11">
      <c r="A758" s="1828" t="s">
        <v>1058</v>
      </c>
      <c r="B758" s="1828"/>
      <c r="C758" s="1828"/>
      <c r="D758" s="1828"/>
      <c r="E758" s="1828"/>
      <c r="F758" s="1828"/>
      <c r="G758" s="1828"/>
      <c r="H758" s="1025"/>
      <c r="I758" s="1151"/>
      <c r="J758" s="501"/>
      <c r="K758" s="501"/>
    </row>
    <row r="759" spans="1:11">
      <c r="A759" s="483"/>
      <c r="B759" s="483"/>
      <c r="C759" s="483"/>
      <c r="D759" s="492"/>
      <c r="G759" s="501"/>
      <c r="H759" s="501"/>
      <c r="I759" s="483"/>
      <c r="J759" s="501"/>
      <c r="K759" s="501"/>
    </row>
    <row r="760" spans="1:11" ht="13.7" customHeight="1">
      <c r="C760" s="483"/>
      <c r="D760" s="1822" t="s">
        <v>1068</v>
      </c>
      <c r="E760" s="1822"/>
      <c r="F760" s="1822"/>
      <c r="G760" s="501"/>
      <c r="H760" s="501"/>
      <c r="I760" s="483"/>
      <c r="J760" s="501"/>
      <c r="K760" s="501"/>
    </row>
    <row r="761" spans="1:11">
      <c r="A761" s="483"/>
      <c r="B761" s="483"/>
      <c r="C761" s="483"/>
      <c r="D761" s="1827" t="s">
        <v>1069</v>
      </c>
      <c r="E761" s="1827"/>
      <c r="F761" s="1827"/>
      <c r="G761" s="501"/>
      <c r="H761" s="501"/>
      <c r="I761" s="483"/>
      <c r="J761" s="501"/>
      <c r="K761" s="501"/>
    </row>
    <row r="762" spans="1:11">
      <c r="A762" s="483"/>
      <c r="B762" s="483"/>
      <c r="C762" s="483"/>
      <c r="G762" s="501"/>
      <c r="H762" s="501"/>
      <c r="I762" s="483"/>
      <c r="J762" s="501"/>
      <c r="K762" s="501"/>
    </row>
    <row r="763" spans="1:11" ht="14.25">
      <c r="A763" s="484"/>
      <c r="B763" s="485" t="s">
        <v>2760</v>
      </c>
      <c r="D763" s="1820" t="s">
        <v>1070</v>
      </c>
      <c r="E763" s="1820"/>
      <c r="F763" s="1820"/>
      <c r="G763" s="501"/>
      <c r="H763" s="501"/>
      <c r="I763" s="483"/>
      <c r="J763" s="501"/>
      <c r="K763" s="501"/>
    </row>
    <row r="764" spans="1:11" ht="10.5" customHeight="1">
      <c r="D764" s="1820"/>
      <c r="E764" s="1820"/>
      <c r="F764" s="1820"/>
      <c r="G764" s="501"/>
      <c r="H764" s="501"/>
      <c r="I764" s="483"/>
      <c r="J764" s="501"/>
      <c r="K764" s="501"/>
    </row>
    <row r="765" spans="1:11">
      <c r="D765" s="1820"/>
      <c r="E765" s="1820"/>
      <c r="F765" s="1820"/>
      <c r="G765" s="501"/>
      <c r="H765" s="501"/>
      <c r="I765" s="483"/>
      <c r="J765" s="501"/>
      <c r="K765" s="501"/>
    </row>
    <row r="766" spans="1:11">
      <c r="D766" s="1820"/>
      <c r="E766" s="1820"/>
      <c r="F766" s="1820"/>
      <c r="G766" s="501"/>
      <c r="H766" s="501"/>
      <c r="I766" s="483"/>
      <c r="J766" s="501"/>
      <c r="K766" s="501"/>
    </row>
    <row r="767" spans="1:11">
      <c r="D767" s="1820"/>
      <c r="E767" s="1820"/>
      <c r="F767" s="1820"/>
      <c r="G767" s="501"/>
      <c r="H767" s="501"/>
      <c r="I767" s="483"/>
      <c r="J767" s="501"/>
      <c r="K767" s="501"/>
    </row>
    <row r="768" spans="1:11" ht="15.6" customHeight="1">
      <c r="D768" s="1820"/>
      <c r="E768" s="1820"/>
      <c r="F768" s="1820"/>
      <c r="G768" s="501"/>
      <c r="H768" s="501"/>
      <c r="I768" s="483"/>
      <c r="J768" s="501"/>
      <c r="K768" s="501"/>
    </row>
    <row r="769" spans="1:11">
      <c r="D769" s="499"/>
      <c r="E769" s="446"/>
      <c r="F769" s="446"/>
      <c r="G769" s="501"/>
      <c r="H769" s="501"/>
      <c r="I769" s="483"/>
      <c r="J769" s="501"/>
      <c r="K769" s="501"/>
    </row>
    <row r="770" spans="1:11" s="505" customFormat="1" ht="14.25">
      <c r="A770" s="503"/>
      <c r="B770" s="485" t="s">
        <v>2760</v>
      </c>
      <c r="C770" s="504"/>
      <c r="D770" s="1820" t="s">
        <v>1239</v>
      </c>
      <c r="E770" s="1820"/>
      <c r="F770" s="1820"/>
      <c r="I770" s="1152"/>
    </row>
    <row r="771" spans="1:11" s="505" customFormat="1">
      <c r="A771" s="504"/>
      <c r="B771" s="504"/>
      <c r="C771" s="504"/>
      <c r="D771" s="1820"/>
      <c r="E771" s="1820"/>
      <c r="F771" s="1820"/>
      <c r="I771" s="1152"/>
    </row>
    <row r="772" spans="1:11" s="505" customFormat="1">
      <c r="A772" s="504"/>
      <c r="B772" s="504"/>
      <c r="C772" s="504"/>
      <c r="D772" s="1820"/>
      <c r="E772" s="1820"/>
      <c r="F772" s="1820"/>
      <c r="I772" s="1152"/>
    </row>
    <row r="773" spans="1:11" s="505" customFormat="1">
      <c r="A773" s="504"/>
      <c r="B773" s="504"/>
      <c r="C773" s="504"/>
      <c r="D773" s="1820"/>
      <c r="E773" s="1820"/>
      <c r="F773" s="1820"/>
      <c r="I773" s="1152"/>
    </row>
    <row r="774" spans="1:11" s="505" customFormat="1">
      <c r="A774" s="504"/>
      <c r="B774" s="504"/>
      <c r="C774" s="504"/>
      <c r="D774" s="499"/>
      <c r="I774" s="1152"/>
    </row>
    <row r="775" spans="1:11" s="505" customFormat="1" ht="14.25">
      <c r="A775" s="484"/>
      <c r="B775" s="485" t="s">
        <v>2760</v>
      </c>
      <c r="C775" s="504"/>
      <c r="D775" s="1831" t="s">
        <v>1240</v>
      </c>
      <c r="E775" s="1831"/>
      <c r="F775" s="1831"/>
      <c r="I775" s="1152"/>
    </row>
    <row r="776" spans="1:11" s="505" customFormat="1">
      <c r="A776" s="504"/>
      <c r="B776" s="504"/>
      <c r="C776" s="504"/>
      <c r="D776" s="1831"/>
      <c r="E776" s="1831"/>
      <c r="F776" s="1831"/>
      <c r="I776" s="1152"/>
    </row>
    <row r="777" spans="1:11" s="505" customFormat="1">
      <c r="A777" s="504"/>
      <c r="B777" s="504"/>
      <c r="C777" s="504"/>
      <c r="D777" s="1831"/>
      <c r="E777" s="1831"/>
      <c r="F777" s="1831"/>
      <c r="I777" s="1152"/>
    </row>
    <row r="778" spans="1:11">
      <c r="D778" s="499"/>
      <c r="E778" s="446"/>
      <c r="F778" s="446"/>
      <c r="G778" s="501"/>
      <c r="H778" s="501"/>
      <c r="I778" s="483"/>
      <c r="J778" s="501"/>
      <c r="K778" s="501"/>
    </row>
    <row r="779" spans="1:11" ht="14.25">
      <c r="A779" s="484"/>
      <c r="B779" s="485" t="s">
        <v>2761</v>
      </c>
      <c r="D779" s="1820" t="s">
        <v>1196</v>
      </c>
      <c r="E779" s="1820"/>
      <c r="F779" s="1820"/>
      <c r="G779" s="501"/>
      <c r="H779" s="501"/>
      <c r="I779" s="483"/>
      <c r="J779" s="501"/>
      <c r="K779" s="501"/>
    </row>
    <row r="780" spans="1:11">
      <c r="D780" s="1820"/>
      <c r="E780" s="1820"/>
      <c r="F780" s="1820"/>
      <c r="G780" s="501"/>
      <c r="H780" s="501"/>
      <c r="I780" s="483"/>
      <c r="J780" s="501"/>
      <c r="K780" s="501"/>
    </row>
    <row r="781" spans="1:11">
      <c r="D781" s="445"/>
      <c r="E781" s="445"/>
      <c r="F781" s="445"/>
      <c r="G781" s="501"/>
      <c r="H781" s="501"/>
      <c r="I781" s="483"/>
      <c r="J781" s="501"/>
      <c r="K781" s="501"/>
    </row>
    <row r="782" spans="1:11">
      <c r="B782" s="485" t="s">
        <v>2761</v>
      </c>
      <c r="D782" s="1820" t="s">
        <v>1213</v>
      </c>
      <c r="E782" s="1820"/>
      <c r="F782" s="1820"/>
      <c r="G782" s="501"/>
      <c r="H782" s="501"/>
      <c r="I782" s="483"/>
      <c r="J782" s="501"/>
      <c r="K782" s="501"/>
    </row>
    <row r="783" spans="1:11">
      <c r="D783" s="1820"/>
      <c r="E783" s="1820"/>
      <c r="F783" s="1820"/>
      <c r="G783" s="501"/>
      <c r="H783" s="501"/>
      <c r="I783" s="483"/>
      <c r="J783" s="501"/>
      <c r="K783" s="501"/>
    </row>
    <row r="784" spans="1:11">
      <c r="D784" s="1820"/>
      <c r="E784" s="1820"/>
      <c r="F784" s="1820"/>
      <c r="G784" s="501"/>
      <c r="H784" s="501"/>
      <c r="I784" s="483"/>
      <c r="J784" s="501"/>
      <c r="K784" s="501"/>
    </row>
    <row r="785" spans="1:11">
      <c r="D785" s="445"/>
      <c r="E785" s="445"/>
      <c r="F785" s="445"/>
      <c r="G785" s="501"/>
      <c r="H785" s="501"/>
      <c r="I785" s="483"/>
      <c r="J785" s="501"/>
      <c r="K785" s="501"/>
    </row>
    <row r="786" spans="1:11" hidden="1">
      <c r="A786" s="1850" t="s">
        <v>1787</v>
      </c>
      <c r="B786" s="1850"/>
      <c r="C786" s="1850"/>
      <c r="D786" s="1850"/>
      <c r="E786" s="1850"/>
      <c r="F786" s="1850"/>
      <c r="G786" s="1850"/>
      <c r="H786" s="1023"/>
      <c r="I786" s="1147"/>
    </row>
    <row r="787" spans="1:11" hidden="1">
      <c r="A787" s="57"/>
      <c r="B787" s="57"/>
      <c r="C787" s="354"/>
      <c r="D787" s="3"/>
      <c r="E787" s="3"/>
      <c r="F787" s="3"/>
      <c r="G787" s="3"/>
      <c r="I787" s="490"/>
    </row>
    <row r="788" spans="1:11" hidden="1">
      <c r="A788" s="57"/>
      <c r="B788" s="57"/>
      <c r="C788" s="354"/>
      <c r="D788" s="1849" t="s">
        <v>1827</v>
      </c>
      <c r="E788" s="1849"/>
      <c r="F788" s="1849"/>
      <c r="G788" s="3"/>
      <c r="I788" s="490"/>
    </row>
    <row r="789" spans="1:11" hidden="1">
      <c r="A789" s="57"/>
      <c r="B789" s="57"/>
      <c r="C789" s="354"/>
      <c r="D789" s="1834" t="s">
        <v>1741</v>
      </c>
      <c r="E789" s="1834"/>
      <c r="F789" s="1834"/>
      <c r="G789" s="3"/>
      <c r="I789" s="490"/>
    </row>
    <row r="790" spans="1:11" hidden="1">
      <c r="A790" s="57"/>
      <c r="B790" s="57"/>
      <c r="C790" s="354"/>
      <c r="D790" s="447"/>
      <c r="E790" s="447"/>
      <c r="F790" s="447"/>
      <c r="G790" s="3"/>
      <c r="I790" s="490"/>
    </row>
    <row r="791" spans="1:11" hidden="1">
      <c r="A791" s="57"/>
      <c r="B791" s="485" t="s">
        <v>306</v>
      </c>
      <c r="C791" s="354"/>
      <c r="D791" s="1851" t="s">
        <v>1742</v>
      </c>
      <c r="E791" s="1851"/>
      <c r="F791" s="1851"/>
      <c r="G791" s="3"/>
      <c r="I791" s="483"/>
    </row>
    <row r="792" spans="1:11" hidden="1">
      <c r="A792" s="57"/>
      <c r="B792" s="57"/>
      <c r="C792" s="354"/>
      <c r="D792" s="1851"/>
      <c r="E792" s="1851"/>
      <c r="F792" s="1851"/>
      <c r="G792" s="3"/>
      <c r="I792" s="490"/>
    </row>
    <row r="793" spans="1:11" hidden="1">
      <c r="A793" s="174"/>
      <c r="B793" s="174"/>
      <c r="C793" s="174"/>
      <c r="D793" s="1851"/>
      <c r="E793" s="1851"/>
      <c r="F793" s="1851"/>
      <c r="G793" s="118"/>
      <c r="I793" s="490"/>
    </row>
    <row r="794" spans="1:11" hidden="1">
      <c r="A794" s="354"/>
      <c r="B794" s="354"/>
      <c r="C794" s="354"/>
      <c r="D794" s="173"/>
      <c r="E794" s="3"/>
      <c r="F794" s="3"/>
      <c r="G794" s="3"/>
      <c r="I794" s="490"/>
    </row>
    <row r="795" spans="1:11" hidden="1">
      <c r="A795" s="172"/>
      <c r="B795" s="485" t="s">
        <v>306</v>
      </c>
      <c r="C795" s="172"/>
      <c r="D795" s="1851" t="s">
        <v>1743</v>
      </c>
      <c r="E795" s="1851"/>
      <c r="F795" s="1851"/>
      <c r="G795" s="3"/>
      <c r="I795" s="483"/>
    </row>
    <row r="796" spans="1:11" hidden="1">
      <c r="A796" s="172"/>
      <c r="B796" s="172"/>
      <c r="C796" s="172"/>
      <c r="D796" s="1851"/>
      <c r="E796" s="1851"/>
      <c r="F796" s="1851"/>
      <c r="G796" s="3"/>
      <c r="I796" s="490"/>
    </row>
    <row r="797" spans="1:11" hidden="1">
      <c r="A797" s="172"/>
      <c r="B797" s="172"/>
      <c r="C797" s="172"/>
      <c r="D797" s="1851"/>
      <c r="E797" s="1851"/>
      <c r="F797" s="1851"/>
      <c r="G797" s="3"/>
      <c r="I797" s="490"/>
    </row>
    <row r="798" spans="1:11" hidden="1">
      <c r="A798" s="174"/>
      <c r="B798" s="174"/>
      <c r="C798" s="174"/>
      <c r="D798" s="3"/>
      <c r="E798" s="983"/>
      <c r="F798" s="983"/>
      <c r="G798" s="983"/>
      <c r="I798" s="490"/>
    </row>
    <row r="799" spans="1:11" ht="14.25" hidden="1">
      <c r="A799" s="175"/>
      <c r="B799" s="485" t="s">
        <v>306</v>
      </c>
      <c r="C799" s="984"/>
      <c r="D799" s="1851" t="s">
        <v>1744</v>
      </c>
      <c r="E799" s="1851"/>
      <c r="F799" s="1851"/>
      <c r="G799" s="983"/>
      <c r="I799" s="483"/>
    </row>
    <row r="800" spans="1:11" ht="14.25" hidden="1">
      <c r="A800" s="175"/>
      <c r="B800" s="175"/>
      <c r="C800" s="984"/>
      <c r="D800" s="1851"/>
      <c r="E800" s="1851"/>
      <c r="F800" s="1851"/>
      <c r="G800" s="983"/>
      <c r="I800" s="490"/>
    </row>
    <row r="801" spans="1:9" ht="14.25" hidden="1">
      <c r="A801" s="175"/>
      <c r="B801" s="175"/>
      <c r="C801" s="984"/>
      <c r="D801" s="1851"/>
      <c r="E801" s="1851"/>
      <c r="F801" s="1851"/>
      <c r="G801" s="983"/>
      <c r="I801" s="490"/>
    </row>
    <row r="802" spans="1:9" ht="14.25" hidden="1">
      <c r="A802" s="175"/>
      <c r="B802" s="175"/>
      <c r="C802" s="984"/>
      <c r="D802" s="118"/>
      <c r="E802" s="3"/>
      <c r="F802" s="3"/>
      <c r="G802" s="983"/>
      <c r="I802" s="490"/>
    </row>
    <row r="803" spans="1:9" ht="14.25" hidden="1">
      <c r="A803" s="175"/>
      <c r="B803" s="485" t="s">
        <v>306</v>
      </c>
      <c r="C803" s="984"/>
      <c r="D803" s="1851" t="s">
        <v>1745</v>
      </c>
      <c r="E803" s="1851"/>
      <c r="F803" s="1851"/>
      <c r="G803" s="983"/>
      <c r="I803" s="483"/>
    </row>
    <row r="804" spans="1:9" ht="14.25" hidden="1">
      <c r="A804" s="175"/>
      <c r="B804" s="175"/>
      <c r="C804" s="984"/>
      <c r="D804" s="1851"/>
      <c r="E804" s="1851"/>
      <c r="F804" s="1851"/>
      <c r="G804" s="983"/>
      <c r="I804" s="490"/>
    </row>
    <row r="805" spans="1:9" ht="14.25" hidden="1">
      <c r="A805" s="175"/>
      <c r="B805" s="175"/>
      <c r="C805" s="984"/>
      <c r="D805" s="1851"/>
      <c r="E805" s="1851"/>
      <c r="F805" s="1851"/>
      <c r="G805" s="983"/>
      <c r="I805" s="490"/>
    </row>
    <row r="806" spans="1:9" ht="14.25" hidden="1">
      <c r="A806" s="175"/>
      <c r="B806" s="175"/>
      <c r="C806" s="984"/>
      <c r="D806" s="1851"/>
      <c r="E806" s="1851"/>
      <c r="F806" s="1851"/>
      <c r="G806" s="983"/>
      <c r="I806" s="490"/>
    </row>
    <row r="807" spans="1:9" ht="14.25" hidden="1">
      <c r="A807" s="175"/>
      <c r="B807" s="175"/>
      <c r="C807" s="984"/>
      <c r="D807" s="1851"/>
      <c r="E807" s="1851"/>
      <c r="F807" s="1851"/>
      <c r="G807" s="983"/>
      <c r="I807" s="490"/>
    </row>
    <row r="808" spans="1:9" ht="14.25" hidden="1">
      <c r="A808" s="175"/>
      <c r="B808" s="175"/>
      <c r="C808" s="984"/>
      <c r="D808" s="1851"/>
      <c r="E808" s="1851"/>
      <c r="F808" s="1851"/>
      <c r="G808" s="983"/>
      <c r="I808" s="490"/>
    </row>
    <row r="809" spans="1:9" ht="14.25" hidden="1">
      <c r="A809" s="175"/>
      <c r="B809" s="175"/>
      <c r="C809" s="984"/>
      <c r="D809" s="1851" t="s">
        <v>1788</v>
      </c>
      <c r="E809" s="1851"/>
      <c r="F809" s="1851"/>
      <c r="G809" s="983"/>
      <c r="I809" s="490"/>
    </row>
    <row r="810" spans="1:9" ht="14.25" hidden="1">
      <c r="A810" s="175"/>
      <c r="B810" s="175"/>
      <c r="C810" s="984"/>
      <c r="D810" s="1851"/>
      <c r="E810" s="1851"/>
      <c r="F810" s="1851"/>
      <c r="G810" s="983"/>
      <c r="I810" s="490"/>
    </row>
    <row r="811" spans="1:9" ht="14.25" hidden="1">
      <c r="A811" s="175"/>
      <c r="B811" s="175"/>
      <c r="C811" s="984"/>
      <c r="D811" s="1851"/>
      <c r="E811" s="1851"/>
      <c r="F811" s="1851"/>
      <c r="G811" s="983"/>
      <c r="I811" s="490"/>
    </row>
    <row r="812" spans="1:9" ht="14.25" hidden="1">
      <c r="A812" s="175"/>
      <c r="B812" s="354"/>
      <c r="C812" s="984"/>
      <c r="D812" s="985"/>
      <c r="E812" s="985"/>
      <c r="F812" s="985"/>
      <c r="G812" s="983"/>
      <c r="I812" s="490"/>
    </row>
    <row r="813" spans="1:9" ht="14.25" hidden="1">
      <c r="A813" s="175"/>
      <c r="B813" s="485" t="s">
        <v>306</v>
      </c>
      <c r="C813" s="984"/>
      <c r="D813" s="1851" t="s">
        <v>1746</v>
      </c>
      <c r="E813" s="1851"/>
      <c r="F813" s="1851"/>
      <c r="G813" s="983"/>
      <c r="I813" s="483"/>
    </row>
    <row r="814" spans="1:9" ht="14.25" hidden="1">
      <c r="A814" s="175"/>
      <c r="B814" s="175"/>
      <c r="C814" s="984"/>
      <c r="D814" s="1851"/>
      <c r="E814" s="1851"/>
      <c r="F814" s="1851"/>
      <c r="G814" s="983"/>
      <c r="I814" s="490"/>
    </row>
    <row r="815" spans="1:9" ht="14.25" hidden="1">
      <c r="A815" s="175"/>
      <c r="B815" s="175"/>
      <c r="C815" s="984"/>
      <c r="D815" s="1851"/>
      <c r="E815" s="1851"/>
      <c r="F815" s="1851"/>
      <c r="G815" s="983"/>
      <c r="I815" s="490"/>
    </row>
    <row r="816" spans="1:9" ht="14.25" hidden="1">
      <c r="A816" s="175"/>
      <c r="B816" s="175"/>
      <c r="C816" s="984"/>
      <c r="D816" s="1851"/>
      <c r="E816" s="1851"/>
      <c r="F816" s="1851"/>
      <c r="G816" s="983"/>
      <c r="I816" s="490"/>
    </row>
    <row r="817" spans="1:9" ht="14.25" hidden="1">
      <c r="A817" s="175"/>
      <c r="B817" s="175"/>
      <c r="C817" s="984"/>
      <c r="D817" s="1851"/>
      <c r="E817" s="1851"/>
      <c r="F817" s="1851"/>
      <c r="G817" s="983"/>
      <c r="I817" s="490"/>
    </row>
    <row r="818" spans="1:9" ht="14.25" hidden="1">
      <c r="A818" s="175"/>
      <c r="B818" s="175"/>
      <c r="C818" s="984"/>
      <c r="D818" s="1851"/>
      <c r="E818" s="1851"/>
      <c r="F818" s="1851"/>
      <c r="G818" s="983"/>
      <c r="I818" s="490"/>
    </row>
    <row r="819" spans="1:9" ht="14.25" hidden="1">
      <c r="A819" s="175"/>
      <c r="B819" s="175"/>
      <c r="C819" s="984"/>
      <c r="D819" s="977"/>
      <c r="E819" s="977"/>
      <c r="F819" s="977"/>
      <c r="G819" s="983"/>
      <c r="I819" s="490"/>
    </row>
    <row r="820" spans="1:9" ht="14.25" hidden="1">
      <c r="A820" s="175"/>
      <c r="B820" s="485" t="s">
        <v>306</v>
      </c>
      <c r="C820" s="984"/>
      <c r="D820" s="1851" t="s">
        <v>1747</v>
      </c>
      <c r="E820" s="1851"/>
      <c r="F820" s="1851"/>
      <c r="G820" s="983"/>
      <c r="I820" s="483"/>
    </row>
    <row r="821" spans="1:9" ht="14.25" hidden="1">
      <c r="A821" s="175"/>
      <c r="B821" s="175"/>
      <c r="C821" s="984"/>
      <c r="D821" s="1851"/>
      <c r="E821" s="1851"/>
      <c r="F821" s="1851"/>
      <c r="G821" s="983"/>
      <c r="I821" s="490"/>
    </row>
    <row r="822" spans="1:9" ht="14.25" hidden="1">
      <c r="A822" s="175"/>
      <c r="B822" s="175"/>
      <c r="C822" s="984"/>
      <c r="D822" s="1851"/>
      <c r="E822" s="1851"/>
      <c r="F822" s="1851"/>
      <c r="G822" s="983"/>
      <c r="I822" s="490"/>
    </row>
    <row r="823" spans="1:9" ht="14.25" hidden="1">
      <c r="A823" s="175"/>
      <c r="B823" s="175"/>
      <c r="C823" s="984"/>
      <c r="D823" s="1851"/>
      <c r="E823" s="1851"/>
      <c r="F823" s="1851"/>
      <c r="G823" s="983"/>
      <c r="I823" s="490"/>
    </row>
    <row r="824" spans="1:9" ht="14.25" hidden="1">
      <c r="A824" s="175"/>
      <c r="B824" s="175"/>
      <c r="C824" s="984"/>
      <c r="D824" s="1851"/>
      <c r="E824" s="1851"/>
      <c r="F824" s="1851"/>
      <c r="G824" s="983"/>
      <c r="I824" s="490"/>
    </row>
    <row r="825" spans="1:9" ht="14.25" hidden="1">
      <c r="A825" s="175"/>
      <c r="B825" s="175"/>
      <c r="C825" s="984"/>
      <c r="D825" s="1851"/>
      <c r="E825" s="1851"/>
      <c r="F825" s="1851"/>
      <c r="G825" s="983"/>
      <c r="I825" s="490"/>
    </row>
    <row r="826" spans="1:9" ht="14.25" hidden="1">
      <c r="A826" s="175"/>
      <c r="B826" s="175"/>
      <c r="C826" s="984"/>
      <c r="D826" s="977"/>
      <c r="E826" s="977"/>
      <c r="F826" s="977"/>
      <c r="G826" s="983"/>
      <c r="I826" s="490"/>
    </row>
    <row r="827" spans="1:9" ht="14.25" hidden="1">
      <c r="A827" s="175"/>
      <c r="B827" s="485" t="s">
        <v>306</v>
      </c>
      <c r="C827" s="984"/>
      <c r="D827" s="1825" t="s">
        <v>1748</v>
      </c>
      <c r="E827" s="1825"/>
      <c r="F827" s="1825"/>
      <c r="G827" s="983"/>
      <c r="I827" s="483"/>
    </row>
    <row r="828" spans="1:9" ht="14.25" hidden="1">
      <c r="A828" s="175"/>
      <c r="B828" s="175"/>
      <c r="C828" s="984"/>
      <c r="D828" s="1825"/>
      <c r="E828" s="1825"/>
      <c r="F828" s="1825"/>
      <c r="G828" s="983"/>
      <c r="I828" s="490"/>
    </row>
    <row r="829" spans="1:9" hidden="1">
      <c r="A829" s="13"/>
      <c r="B829" s="13"/>
      <c r="C829" s="984"/>
      <c r="D829" s="1825"/>
      <c r="E829" s="1825"/>
      <c r="F829" s="1825"/>
      <c r="G829" s="983"/>
      <c r="I829" s="490"/>
    </row>
    <row r="830" spans="1:9" ht="14.25" hidden="1">
      <c r="A830" s="175"/>
      <c r="B830" s="13"/>
      <c r="C830" s="984"/>
      <c r="D830" s="1825"/>
      <c r="E830" s="1825"/>
      <c r="F830" s="1825"/>
      <c r="G830" s="983"/>
      <c r="I830" s="490"/>
    </row>
    <row r="831" spans="1:9" ht="12.75" hidden="1" customHeight="1">
      <c r="A831" s="175"/>
      <c r="B831" s="13"/>
      <c r="C831" s="984"/>
      <c r="D831" s="1825"/>
      <c r="E831" s="1825"/>
      <c r="F831" s="1825"/>
      <c r="G831" s="983"/>
      <c r="I831" s="490"/>
    </row>
    <row r="832" spans="1:9" ht="12.75" hidden="1" customHeight="1">
      <c r="A832" s="175"/>
      <c r="B832" s="13"/>
      <c r="C832" s="984"/>
      <c r="D832" s="1825"/>
      <c r="E832" s="1825"/>
      <c r="F832" s="1825"/>
      <c r="G832" s="983"/>
      <c r="I832" s="490"/>
    </row>
    <row r="833" spans="1:9" ht="12.75" hidden="1" customHeight="1">
      <c r="A833" s="13"/>
      <c r="B833" s="13"/>
      <c r="C833" s="984"/>
      <c r="D833" s="983"/>
      <c r="E833" s="3"/>
      <c r="F833" s="3"/>
      <c r="G833" s="983"/>
      <c r="I833" s="490"/>
    </row>
    <row r="834" spans="1:9" ht="12.75" customHeight="1">
      <c r="A834" s="1843" t="s">
        <v>1749</v>
      </c>
      <c r="B834" s="1843"/>
      <c r="C834" s="1843"/>
      <c r="D834" s="1843"/>
      <c r="E834" s="1843"/>
      <c r="F834" s="1843"/>
      <c r="G834" s="1843"/>
      <c r="H834" s="1023"/>
      <c r="I834" s="1147"/>
    </row>
    <row r="835" spans="1:9" ht="12.75" customHeight="1">
      <c r="A835" s="172"/>
      <c r="B835" s="172"/>
      <c r="C835" s="984"/>
      <c r="D835" s="983"/>
      <c r="E835" s="983"/>
      <c r="F835" s="983"/>
      <c r="G835" s="983"/>
      <c r="I835" s="490"/>
    </row>
    <row r="836" spans="1:9" ht="12.75" customHeight="1">
      <c r="A836" s="175"/>
      <c r="B836" s="175"/>
      <c r="C836" s="354"/>
      <c r="D836" s="1848" t="s">
        <v>1789</v>
      </c>
      <c r="E836" s="1848"/>
      <c r="F836" s="1848"/>
      <c r="G836" s="3"/>
      <c r="I836" s="490"/>
    </row>
    <row r="837" spans="1:9" ht="14.25" customHeight="1">
      <c r="A837" s="175"/>
      <c r="B837" s="175"/>
      <c r="C837" s="354"/>
      <c r="D837" s="1478" t="s">
        <v>1750</v>
      </c>
      <c r="E837" s="1478"/>
      <c r="F837" s="1478"/>
      <c r="G837" s="3"/>
      <c r="I837" s="490"/>
    </row>
    <row r="838" spans="1:9" ht="12.75" customHeight="1">
      <c r="A838" s="175"/>
      <c r="B838" s="175"/>
      <c r="C838" s="354"/>
      <c r="D838" s="441"/>
      <c r="E838" s="441"/>
      <c r="F838" s="441"/>
      <c r="G838" s="3"/>
      <c r="I838" s="490"/>
    </row>
    <row r="839" spans="1:9" ht="12.75" customHeight="1">
      <c r="A839" s="354"/>
      <c r="B839" s="485" t="s">
        <v>2760</v>
      </c>
      <c r="C839" s="984"/>
      <c r="D839" s="1478" t="s">
        <v>1751</v>
      </c>
      <c r="E839" s="1478"/>
      <c r="F839" s="1478"/>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57" t="s">
        <v>2029</v>
      </c>
      <c r="E842" s="1857"/>
      <c r="F842" s="1857"/>
      <c r="G842" s="3"/>
      <c r="I842" s="490"/>
    </row>
    <row r="843" spans="1:9" ht="12.75" hidden="1" customHeight="1">
      <c r="A843" s="13"/>
      <c r="B843" s="13"/>
      <c r="C843" s="984"/>
      <c r="D843" s="1857"/>
      <c r="E843" s="1857"/>
      <c r="F843" s="1857"/>
      <c r="G843" s="3"/>
      <c r="I843" s="490"/>
    </row>
    <row r="844" spans="1:9" ht="12.75" hidden="1" customHeight="1">
      <c r="A844" s="13"/>
      <c r="B844" s="13"/>
      <c r="C844" s="984"/>
      <c r="D844" s="1857"/>
      <c r="E844" s="1857"/>
      <c r="F844" s="1857"/>
      <c r="G844" s="3"/>
      <c r="I844" s="490"/>
    </row>
    <row r="845" spans="1:9" ht="12.75" hidden="1" customHeight="1">
      <c r="A845" s="13"/>
      <c r="B845" s="13"/>
      <c r="C845" s="984"/>
      <c r="D845" s="1857"/>
      <c r="E845" s="1857"/>
      <c r="F845" s="1857"/>
      <c r="G845" s="3"/>
      <c r="I845" s="490"/>
    </row>
    <row r="846" spans="1:9" ht="12.75" hidden="1" customHeight="1">
      <c r="A846" s="13"/>
      <c r="B846" s="13"/>
      <c r="C846" s="984"/>
      <c r="D846" s="1857"/>
      <c r="E846" s="1857"/>
      <c r="F846" s="1857"/>
      <c r="G846" s="3"/>
      <c r="I846" s="490"/>
    </row>
    <row r="847" spans="1:9" ht="12.75" hidden="1" customHeight="1">
      <c r="A847" s="13"/>
      <c r="B847" s="13"/>
      <c r="C847" s="984"/>
      <c r="D847" s="1857"/>
      <c r="E847" s="1857"/>
      <c r="F847" s="1857"/>
      <c r="G847" s="3"/>
      <c r="I847" s="490"/>
    </row>
    <row r="848" spans="1:9" ht="12.75" hidden="1" customHeight="1">
      <c r="A848" s="13"/>
      <c r="B848" s="13"/>
      <c r="C848" s="984"/>
      <c r="D848" s="1857"/>
      <c r="E848" s="1857"/>
      <c r="F848" s="1857"/>
      <c r="G848" s="3"/>
      <c r="I848" s="490"/>
    </row>
    <row r="849" spans="1:9" ht="12.75" hidden="1" customHeight="1">
      <c r="A849" s="13"/>
      <c r="B849" s="13"/>
      <c r="C849" s="984"/>
      <c r="D849" s="1857"/>
      <c r="E849" s="1857"/>
      <c r="F849" s="1857"/>
      <c r="G849" s="3"/>
      <c r="I849" s="490"/>
    </row>
    <row r="850" spans="1:9" ht="12.75" hidden="1" customHeight="1">
      <c r="A850" s="13"/>
      <c r="B850" s="13"/>
      <c r="C850" s="984"/>
      <c r="D850" s="1857"/>
      <c r="E850" s="1857"/>
      <c r="F850" s="1857"/>
      <c r="G850" s="3"/>
      <c r="I850" s="490"/>
    </row>
    <row r="851" spans="1:9" ht="12.75" hidden="1" customHeight="1">
      <c r="A851" s="13"/>
      <c r="B851" s="13"/>
      <c r="C851" s="984"/>
      <c r="D851" s="1857"/>
      <c r="E851" s="1857"/>
      <c r="F851" s="1857"/>
      <c r="G851" s="3"/>
      <c r="I851" s="490"/>
    </row>
    <row r="852" spans="1:9" ht="12.75" hidden="1" customHeight="1">
      <c r="A852" s="13"/>
      <c r="B852" s="13"/>
      <c r="C852" s="984"/>
      <c r="D852" s="986"/>
      <c r="E852" s="3"/>
      <c r="F852" s="3"/>
      <c r="G852" s="3"/>
      <c r="I852" s="490"/>
    </row>
    <row r="853" spans="1:9" ht="12.75" customHeight="1">
      <c r="A853" s="175"/>
      <c r="B853" s="485" t="s">
        <v>2760</v>
      </c>
      <c r="C853" s="984"/>
      <c r="D853" s="1478" t="s">
        <v>1752</v>
      </c>
      <c r="E853" s="1478"/>
      <c r="F853" s="1478"/>
      <c r="G853" s="3"/>
      <c r="I853" s="490" t="s">
        <v>1854</v>
      </c>
    </row>
    <row r="854" spans="1:9" ht="12.75" customHeight="1">
      <c r="A854" s="175"/>
      <c r="B854" s="175"/>
      <c r="C854" s="984"/>
      <c r="D854" s="1478"/>
      <c r="E854" s="1478"/>
      <c r="F854" s="1478"/>
      <c r="G854" s="3"/>
      <c r="I854" s="490"/>
    </row>
    <row r="855" spans="1:9" ht="12.75" customHeight="1">
      <c r="A855" s="175"/>
      <c r="B855" s="175"/>
      <c r="C855" s="984"/>
      <c r="D855" s="1478"/>
      <c r="E855" s="1478"/>
      <c r="F855" s="1478"/>
      <c r="G855" s="3"/>
      <c r="I855" s="490"/>
    </row>
    <row r="856" spans="1:9" ht="12.75" customHeight="1">
      <c r="A856" s="175"/>
      <c r="B856" s="175"/>
      <c r="C856" s="984"/>
      <c r="D856" s="118"/>
      <c r="E856" s="3"/>
      <c r="F856" s="3"/>
      <c r="G856" s="3"/>
      <c r="I856" s="490"/>
    </row>
    <row r="857" spans="1:9" ht="12.75" customHeight="1">
      <c r="A857" s="987"/>
      <c r="B857" s="485" t="s">
        <v>2761</v>
      </c>
      <c r="C857" s="984"/>
      <c r="D857" s="1848" t="s">
        <v>1753</v>
      </c>
      <c r="E857" s="1848"/>
      <c r="F857" s="1848"/>
      <c r="G857" s="3"/>
      <c r="I857" s="490"/>
    </row>
    <row r="858" spans="1:9" ht="12.75" customHeight="1">
      <c r="A858" s="354"/>
      <c r="B858" s="987"/>
      <c r="C858" s="984"/>
      <c r="D858" s="1848"/>
      <c r="E858" s="1848"/>
      <c r="F858" s="1848"/>
      <c r="G858" s="3"/>
      <c r="I858" s="490"/>
    </row>
    <row r="859" spans="1:9" ht="12.75" customHeight="1">
      <c r="A859" s="175"/>
      <c r="B859" s="354"/>
      <c r="C859" s="984"/>
      <c r="D859" s="1478" t="s">
        <v>2024</v>
      </c>
      <c r="E859" s="1478"/>
      <c r="F859" s="1478"/>
      <c r="G859" s="3"/>
      <c r="I859" s="490"/>
    </row>
    <row r="860" spans="1:9" ht="12.75" customHeight="1">
      <c r="A860" s="175"/>
      <c r="B860" s="175"/>
      <c r="C860" s="984"/>
      <c r="D860" s="1478"/>
      <c r="E860" s="1478"/>
      <c r="F860" s="1478"/>
      <c r="G860" s="3"/>
      <c r="I860" s="490"/>
    </row>
    <row r="861" spans="1:9" ht="12.75" customHeight="1">
      <c r="A861" s="175"/>
      <c r="B861" s="175"/>
      <c r="C861" s="984"/>
      <c r="D861" s="1478"/>
      <c r="E861" s="1478"/>
      <c r="F861" s="1478"/>
      <c r="G861" s="3"/>
      <c r="I861" s="490"/>
    </row>
    <row r="862" spans="1:9" ht="12.75" customHeight="1">
      <c r="A862" s="175"/>
      <c r="B862" s="175"/>
      <c r="C862" s="984"/>
      <c r="D862" s="1478"/>
      <c r="E862" s="1478"/>
      <c r="F862" s="1478"/>
      <c r="G862" s="3"/>
      <c r="I862" s="490"/>
    </row>
    <row r="863" spans="1:9" ht="12.75" customHeight="1">
      <c r="A863" s="175"/>
      <c r="B863" s="175"/>
      <c r="C863" s="984"/>
      <c r="D863" s="1478"/>
      <c r="E863" s="1478"/>
      <c r="F863" s="1478"/>
      <c r="G863" s="3"/>
      <c r="I863" s="490"/>
    </row>
    <row r="864" spans="1:9" ht="12.75" customHeight="1">
      <c r="A864" s="175"/>
      <c r="B864" s="175"/>
      <c r="C864" s="984"/>
      <c r="D864" s="1478"/>
      <c r="E864" s="1478"/>
      <c r="F864" s="1478"/>
      <c r="G864" s="3"/>
      <c r="I864" s="490"/>
    </row>
    <row r="865" spans="1:9" ht="12.75" customHeight="1">
      <c r="A865" s="175"/>
      <c r="B865" s="175"/>
      <c r="C865" s="984"/>
      <c r="D865" s="118"/>
      <c r="E865" s="3"/>
      <c r="F865" s="3"/>
      <c r="G865" s="3"/>
      <c r="I865" s="490"/>
    </row>
    <row r="866" spans="1:9" ht="12.75" customHeight="1">
      <c r="A866" s="175"/>
      <c r="B866" s="485" t="s">
        <v>2761</v>
      </c>
      <c r="C866" s="984"/>
      <c r="D866" s="1478" t="s">
        <v>1754</v>
      </c>
      <c r="E866" s="1478"/>
      <c r="F866" s="1478"/>
      <c r="G866" s="3"/>
      <c r="I866" s="490" t="s">
        <v>1852</v>
      </c>
    </row>
    <row r="867" spans="1:9" ht="12.75" customHeight="1">
      <c r="A867" s="175"/>
      <c r="B867" s="175"/>
      <c r="C867" s="984"/>
      <c r="D867" s="1478" t="s">
        <v>1755</v>
      </c>
      <c r="E867" s="1478"/>
      <c r="F867" s="1478"/>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2761</v>
      </c>
      <c r="C870" s="984"/>
      <c r="D870" s="1478" t="s">
        <v>1756</v>
      </c>
      <c r="E870" s="1478"/>
      <c r="F870" s="1478"/>
      <c r="G870" s="3"/>
      <c r="I870" s="490" t="s">
        <v>1855</v>
      </c>
    </row>
    <row r="871" spans="1:9" ht="12.75" customHeight="1">
      <c r="A871" s="175"/>
      <c r="B871" s="175"/>
      <c r="C871" s="984"/>
      <c r="D871" s="1478"/>
      <c r="E871" s="1478"/>
      <c r="F871" s="1478"/>
      <c r="G871" s="3"/>
      <c r="I871" s="490"/>
    </row>
    <row r="872" spans="1:9" ht="12.75" customHeight="1">
      <c r="A872" s="175"/>
      <c r="B872" s="175"/>
      <c r="C872" s="984"/>
      <c r="D872" s="1478"/>
      <c r="E872" s="1478"/>
      <c r="F872" s="1478"/>
      <c r="G872" s="3"/>
      <c r="I872" s="490"/>
    </row>
    <row r="873" spans="1:9" ht="12.75" customHeight="1">
      <c r="A873" s="175"/>
      <c r="B873" s="175"/>
      <c r="C873" s="984"/>
      <c r="D873" s="1478"/>
      <c r="E873" s="1478"/>
      <c r="F873" s="1478"/>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5" t="s">
        <v>1790</v>
      </c>
      <c r="E877" s="1855"/>
      <c r="F877" s="1855"/>
      <c r="G877" s="983"/>
      <c r="I877" s="490"/>
    </row>
    <row r="878" spans="1:9" ht="12.75" customHeight="1">
      <c r="A878" s="354"/>
      <c r="B878" s="354"/>
      <c r="C878" s="174"/>
      <c r="D878" s="1856" t="s">
        <v>1758</v>
      </c>
      <c r="E878" s="1856"/>
      <c r="F878" s="1856"/>
      <c r="G878" s="983"/>
      <c r="I878" s="490"/>
    </row>
    <row r="879" spans="1:9" ht="12.75" customHeight="1">
      <c r="A879" s="354"/>
      <c r="B879" s="354"/>
      <c r="C879" s="174"/>
      <c r="D879" s="990"/>
      <c r="E879" s="990"/>
      <c r="F879" s="990"/>
      <c r="G879" s="983"/>
      <c r="I879" s="490"/>
    </row>
    <row r="880" spans="1:9" ht="12.75" customHeight="1">
      <c r="A880" s="175"/>
      <c r="B880" s="485" t="s">
        <v>2760</v>
      </c>
      <c r="C880" s="354"/>
      <c r="D880" s="1835" t="s">
        <v>1759</v>
      </c>
      <c r="E880" s="1835"/>
      <c r="F880" s="1835"/>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2760</v>
      </c>
      <c r="C883" s="354"/>
      <c r="D883" s="1478" t="s">
        <v>1760</v>
      </c>
      <c r="E883" s="1845"/>
      <c r="F883" s="1845"/>
      <c r="G883" s="3"/>
      <c r="I883" s="490" t="s">
        <v>1855</v>
      </c>
    </row>
    <row r="884" spans="1:9" ht="12.75" customHeight="1">
      <c r="A884" s="354"/>
      <c r="B884" s="354"/>
      <c r="C884" s="354"/>
      <c r="D884" s="1845"/>
      <c r="E884" s="1845"/>
      <c r="F884" s="1845"/>
      <c r="G884" s="3"/>
      <c r="I884" s="490"/>
    </row>
    <row r="885" spans="1:9" ht="12.75" customHeight="1">
      <c r="A885" s="354"/>
      <c r="B885" s="354"/>
      <c r="C885" s="354"/>
      <c r="D885" s="118"/>
      <c r="E885" s="3"/>
      <c r="F885" s="3"/>
      <c r="G885" s="3"/>
      <c r="I885" s="490"/>
    </row>
    <row r="886" spans="1:9" ht="12.75" customHeight="1">
      <c r="A886" s="354"/>
      <c r="B886" s="485" t="s">
        <v>2761</v>
      </c>
      <c r="C886" s="354"/>
      <c r="D886" s="1846" t="s">
        <v>1761</v>
      </c>
      <c r="E886" s="1846"/>
      <c r="F886" s="1846"/>
      <c r="G886" s="983"/>
      <c r="I886" s="490"/>
    </row>
    <row r="887" spans="1:9" ht="12.75" customHeight="1">
      <c r="A887" s="354"/>
      <c r="B887" s="991"/>
      <c r="C887" s="354"/>
      <c r="D887" s="1846"/>
      <c r="E887" s="1846"/>
      <c r="F887" s="1846"/>
      <c r="G887" s="983"/>
      <c r="I887" s="490"/>
    </row>
    <row r="888" spans="1:9" ht="12.75" customHeight="1">
      <c r="A888" s="175"/>
      <c r="B888"/>
      <c r="C888" s="354"/>
      <c r="D888" s="1478" t="s">
        <v>2024</v>
      </c>
      <c r="E888" s="1478"/>
      <c r="F888" s="1478"/>
      <c r="G888" s="983"/>
      <c r="I888" s="490"/>
    </row>
    <row r="889" spans="1:9" ht="12.75" customHeight="1">
      <c r="A889" s="175"/>
      <c r="B889" s="175"/>
      <c r="C889" s="354"/>
      <c r="D889" s="1478"/>
      <c r="E889" s="1478"/>
      <c r="F889" s="1478"/>
      <c r="G889" s="983"/>
      <c r="I889" s="490"/>
    </row>
    <row r="890" spans="1:9" ht="12.75" customHeight="1">
      <c r="A890" s="175"/>
      <c r="B890" s="175"/>
      <c r="C890" s="354"/>
      <c r="D890" s="1478"/>
      <c r="E890" s="1478"/>
      <c r="F890" s="1478"/>
      <c r="G890" s="983"/>
      <c r="I890" s="490"/>
    </row>
    <row r="891" spans="1:9" ht="12.75" customHeight="1">
      <c r="A891" s="175"/>
      <c r="B891" s="175"/>
      <c r="C891" s="354"/>
      <c r="D891" s="1478"/>
      <c r="E891" s="1478"/>
      <c r="F891" s="1478"/>
      <c r="G891" s="983"/>
      <c r="I891" s="490"/>
    </row>
    <row r="892" spans="1:9" ht="12.75" customHeight="1">
      <c r="A892" s="175"/>
      <c r="B892" s="175"/>
      <c r="C892" s="354"/>
      <c r="D892" s="1478"/>
      <c r="E892" s="1478"/>
      <c r="F892" s="1478"/>
      <c r="G892" s="983"/>
      <c r="I892" s="490"/>
    </row>
    <row r="893" spans="1:9" ht="12.75" customHeight="1">
      <c r="A893" s="175"/>
      <c r="B893" s="175"/>
      <c r="C893" s="354"/>
      <c r="D893" s="1478"/>
      <c r="E893" s="1478"/>
      <c r="F893" s="1478"/>
      <c r="G893" s="983"/>
      <c r="I893" s="490"/>
    </row>
    <row r="894" spans="1:9" ht="12.75" customHeight="1">
      <c r="A894" s="175"/>
      <c r="B894" s="175"/>
      <c r="C894" s="354"/>
      <c r="D894" s="118"/>
      <c r="E894" s="983"/>
      <c r="F894" s="983"/>
      <c r="G894" s="983"/>
      <c r="I894" s="490"/>
    </row>
    <row r="895" spans="1:9" ht="12.75" customHeight="1">
      <c r="A895" s="175"/>
      <c r="B895" s="485" t="s">
        <v>2761</v>
      </c>
      <c r="C895" s="354"/>
      <c r="D895" s="1836" t="s">
        <v>1754</v>
      </c>
      <c r="E895" s="1836"/>
      <c r="F895" s="1836"/>
      <c r="G895" s="983"/>
      <c r="I895" s="490"/>
    </row>
    <row r="896" spans="1:9" ht="12.75" customHeight="1">
      <c r="A896" s="175"/>
      <c r="B896" s="175"/>
      <c r="C896" s="354"/>
      <c r="D896" s="1836" t="s">
        <v>1755</v>
      </c>
      <c r="E896" s="1836"/>
      <c r="F896" s="1836"/>
      <c r="G896" s="983"/>
      <c r="I896" s="490"/>
    </row>
    <row r="897" spans="1:9" ht="12.75" customHeight="1">
      <c r="A897" s="175"/>
      <c r="B897" s="175"/>
      <c r="C897" s="354"/>
      <c r="D897" s="2" t="s">
        <v>1268</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2761</v>
      </c>
      <c r="C899" s="354"/>
      <c r="D899" s="1478" t="s">
        <v>1756</v>
      </c>
      <c r="E899" s="1478"/>
      <c r="F899" s="1478"/>
      <c r="G899" s="983"/>
      <c r="I899" s="490"/>
    </row>
    <row r="900" spans="1:9" ht="12.75" customHeight="1">
      <c r="A900" s="175"/>
      <c r="B900" s="175"/>
      <c r="C900" s="354"/>
      <c r="D900" s="1478"/>
      <c r="E900" s="1478"/>
      <c r="F900" s="1478"/>
      <c r="G900" s="983"/>
      <c r="I900" s="490"/>
    </row>
    <row r="901" spans="1:9" ht="12.75" customHeight="1">
      <c r="A901" s="175"/>
      <c r="B901" s="175"/>
      <c r="C901" s="354"/>
      <c r="D901" s="1478"/>
      <c r="E901" s="1478"/>
      <c r="F901" s="1478"/>
      <c r="G901" s="983"/>
      <c r="I901" s="490"/>
    </row>
    <row r="902" spans="1:9" ht="12.75" customHeight="1">
      <c r="A902" s="175"/>
      <c r="B902" s="175"/>
      <c r="C902" s="354"/>
      <c r="D902" s="1478"/>
      <c r="E902" s="1478"/>
      <c r="F902" s="1478"/>
      <c r="G902" s="983"/>
      <c r="I902" s="490"/>
    </row>
    <row r="903" spans="1:9" ht="12.75" customHeight="1">
      <c r="A903" s="118"/>
      <c r="B903" s="118"/>
      <c r="C903" s="984"/>
      <c r="D903" s="983"/>
      <c r="E903" s="983"/>
      <c r="F903" s="983"/>
      <c r="G903" s="983"/>
      <c r="I903" s="490"/>
    </row>
    <row r="904" spans="1:9" ht="12.75" customHeight="1">
      <c r="A904" s="1843" t="s">
        <v>1791</v>
      </c>
      <c r="B904" s="1843"/>
      <c r="C904" s="1843"/>
      <c r="D904" s="1843"/>
      <c r="E904" s="1843"/>
      <c r="F904" s="1843"/>
      <c r="G904" s="1843"/>
      <c r="H904" s="1023"/>
      <c r="I904" s="1147"/>
    </row>
    <row r="905" spans="1:9" ht="12.75" customHeight="1">
      <c r="A905" s="57"/>
      <c r="B905" s="57"/>
      <c r="C905" s="57"/>
      <c r="D905" s="57"/>
      <c r="E905" s="57"/>
      <c r="F905" s="57"/>
      <c r="G905" s="57"/>
      <c r="I905" s="490"/>
    </row>
    <row r="906" spans="1:9" ht="12.75" customHeight="1">
      <c r="A906" s="57"/>
      <c r="B906" s="57"/>
      <c r="C906" s="57"/>
      <c r="D906" s="1859" t="s">
        <v>1797</v>
      </c>
      <c r="E906" s="1859"/>
      <c r="F906" s="1859"/>
      <c r="G906" s="57"/>
      <c r="I906" s="490"/>
    </row>
    <row r="907" spans="1:9" ht="12.75" customHeight="1">
      <c r="A907" s="57"/>
      <c r="B907" s="57"/>
      <c r="C907" s="57"/>
      <c r="D907" s="976"/>
      <c r="E907" s="976"/>
      <c r="F907" s="976"/>
      <c r="G907" s="57"/>
      <c r="I907" s="490"/>
    </row>
    <row r="908" spans="1:9" ht="12.75" customHeight="1">
      <c r="A908" s="57"/>
      <c r="B908" s="485" t="s">
        <v>2760</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9" t="s">
        <v>1792</v>
      </c>
      <c r="E910" s="1859"/>
      <c r="F910" s="1859"/>
      <c r="G910" s="983"/>
      <c r="I910" s="490"/>
    </row>
    <row r="911" spans="1:9" ht="12.75" customHeight="1">
      <c r="A911" s="172"/>
      <c r="B911" s="172"/>
      <c r="C911" s="172"/>
      <c r="D911" s="1835" t="s">
        <v>1762</v>
      </c>
      <c r="E911" s="1835"/>
      <c r="F911" s="1835"/>
      <c r="G911" s="983"/>
      <c r="I911" s="490"/>
    </row>
    <row r="912" spans="1:9" ht="12.75" customHeight="1">
      <c r="A912" s="984"/>
      <c r="B912" s="984"/>
      <c r="C912" s="984"/>
      <c r="D912" s="2"/>
      <c r="E912" s="983"/>
      <c r="F912" s="983"/>
      <c r="G912" s="983"/>
      <c r="I912" s="490"/>
    </row>
    <row r="913" spans="1:9" ht="12.75" customHeight="1">
      <c r="A913" s="175"/>
      <c r="B913" s="485" t="s">
        <v>2760</v>
      </c>
      <c r="C913" s="354"/>
      <c r="D913" s="1478" t="s">
        <v>1766</v>
      </c>
      <c r="E913" s="1478"/>
      <c r="F913" s="1478"/>
      <c r="G913" s="3"/>
      <c r="I913" s="490"/>
    </row>
    <row r="914" spans="1:9" ht="12.75" customHeight="1">
      <c r="A914" s="354"/>
      <c r="B914" s="354"/>
      <c r="C914" s="354"/>
      <c r="D914" s="1478"/>
      <c r="E914" s="1478"/>
      <c r="F914" s="1478"/>
      <c r="G914" s="3"/>
      <c r="I914" s="490"/>
    </row>
    <row r="915" spans="1:9" ht="12.75" customHeight="1">
      <c r="A915" s="172"/>
      <c r="B915" s="172"/>
      <c r="C915" s="172"/>
      <c r="D915" s="1478" t="s">
        <v>1765</v>
      </c>
      <c r="E915" s="1478"/>
      <c r="F915" s="1478"/>
      <c r="G915" s="983"/>
      <c r="I915" s="490"/>
    </row>
    <row r="916" spans="1:9" ht="12.75" customHeight="1">
      <c r="A916" s="172"/>
      <c r="B916" s="172"/>
      <c r="C916" s="172"/>
      <c r="D916" s="1478"/>
      <c r="E916" s="1478"/>
      <c r="F916" s="1478"/>
      <c r="G916" s="983"/>
      <c r="I916" s="490"/>
    </row>
    <row r="917" spans="1:9" ht="12.75" customHeight="1">
      <c r="A917" s="172"/>
      <c r="B917" s="172"/>
      <c r="C917" s="172"/>
      <c r="D917" s="3"/>
      <c r="E917" s="3"/>
      <c r="F917" s="983"/>
      <c r="G917" s="983"/>
      <c r="I917" s="490"/>
    </row>
    <row r="918" spans="1:9" ht="12.75" customHeight="1">
      <c r="A918" s="175"/>
      <c r="B918" s="485" t="s">
        <v>2761</v>
      </c>
      <c r="C918" s="174"/>
      <c r="D918" s="1802" t="s">
        <v>1763</v>
      </c>
      <c r="E918" s="1802"/>
      <c r="F918" s="1802"/>
      <c r="G918" s="983"/>
      <c r="I918" s="490"/>
    </row>
    <row r="919" spans="1:9" ht="12.75" customHeight="1">
      <c r="A919" s="175"/>
      <c r="B919" s="175"/>
      <c r="C919" s="174"/>
      <c r="D919" s="1802"/>
      <c r="E919" s="1802"/>
      <c r="F919" s="1802"/>
      <c r="G919" s="983"/>
      <c r="I919" s="490"/>
    </row>
    <row r="920" spans="1:9" ht="12.75" customHeight="1">
      <c r="A920" s="175"/>
      <c r="B920" s="175"/>
      <c r="C920" s="174"/>
      <c r="D920" s="1802"/>
      <c r="E920" s="1802"/>
      <c r="F920" s="1802"/>
      <c r="G920" s="983"/>
      <c r="I920" s="490"/>
    </row>
    <row r="921" spans="1:9" ht="12.75" customHeight="1">
      <c r="A921" s="175"/>
      <c r="B921" s="175"/>
      <c r="C921" s="174"/>
      <c r="D921" s="1802"/>
      <c r="E921" s="1802"/>
      <c r="F921" s="1802"/>
      <c r="G921" s="983"/>
      <c r="I921" s="490"/>
    </row>
    <row r="922" spans="1:9" ht="12.75" customHeight="1">
      <c r="A922" s="175"/>
      <c r="B922" s="175"/>
      <c r="C922" s="174"/>
      <c r="D922" s="1802"/>
      <c r="E922" s="1802"/>
      <c r="F922" s="1802"/>
      <c r="G922" s="983"/>
      <c r="I922" s="490"/>
    </row>
    <row r="923" spans="1:9" ht="12.75" customHeight="1">
      <c r="A923" s="174"/>
      <c r="B923" s="174"/>
      <c r="C923" s="174"/>
      <c r="D923" s="1802"/>
      <c r="E923" s="1802"/>
      <c r="F923" s="1802"/>
      <c r="G923" s="983"/>
      <c r="I923" s="490"/>
    </row>
    <row r="924" spans="1:9" ht="12.75" customHeight="1">
      <c r="A924" s="174"/>
      <c r="B924" s="174"/>
      <c r="C924" s="174"/>
      <c r="D924" s="1802"/>
      <c r="E924" s="1802"/>
      <c r="F924" s="1802"/>
      <c r="G924" s="983"/>
      <c r="I924" s="490"/>
    </row>
    <row r="925" spans="1:9" ht="12.75" customHeight="1">
      <c r="A925" s="174"/>
      <c r="B925" s="174"/>
      <c r="C925" s="174"/>
      <c r="D925" s="1802"/>
      <c r="E925" s="1802"/>
      <c r="F925" s="1802"/>
      <c r="G925" s="983"/>
      <c r="I925" s="490"/>
    </row>
    <row r="926" spans="1:9" ht="12.75" customHeight="1">
      <c r="A926" s="174"/>
      <c r="B926" s="174"/>
      <c r="C926" s="174"/>
      <c r="D926" s="335"/>
      <c r="E926" s="335"/>
      <c r="F926" s="335"/>
      <c r="G926" s="983"/>
      <c r="I926" s="490"/>
    </row>
    <row r="927" spans="1:9" ht="12.75" customHeight="1">
      <c r="A927" s="984"/>
      <c r="B927" s="485" t="s">
        <v>2761</v>
      </c>
      <c r="C927" s="984"/>
      <c r="D927" s="1478" t="s">
        <v>1767</v>
      </c>
      <c r="E927" s="1478"/>
      <c r="F927" s="1478"/>
      <c r="G927" s="983"/>
      <c r="I927" s="490"/>
    </row>
    <row r="928" spans="1:9" ht="12.75" customHeight="1">
      <c r="A928" s="984"/>
      <c r="B928" s="984"/>
      <c r="C928" s="984"/>
      <c r="D928" s="1478"/>
      <c r="E928" s="1478"/>
      <c r="F928" s="1478"/>
      <c r="G928" s="983"/>
      <c r="I928" s="490"/>
    </row>
    <row r="929" spans="1:9" ht="12.75" customHeight="1">
      <c r="A929" s="984"/>
      <c r="B929" s="984"/>
      <c r="C929" s="984"/>
      <c r="D929" s="983"/>
      <c r="E929" s="983"/>
      <c r="F929" s="983"/>
      <c r="G929" s="983"/>
      <c r="I929" s="490"/>
    </row>
    <row r="930" spans="1:9" ht="12.75" customHeight="1">
      <c r="A930" s="984"/>
      <c r="B930" s="485" t="s">
        <v>2761</v>
      </c>
      <c r="C930" s="984"/>
      <c r="D930" s="1825" t="s">
        <v>1768</v>
      </c>
      <c r="E930" s="1825"/>
      <c r="F930" s="1825"/>
      <c r="G930" s="983"/>
      <c r="I930" s="490"/>
    </row>
    <row r="931" spans="1:9" ht="12.75" customHeight="1">
      <c r="A931" s="984"/>
      <c r="B931" s="984"/>
      <c r="C931" s="984"/>
      <c r="D931" s="1825"/>
      <c r="E931" s="1825"/>
      <c r="F931" s="1825"/>
      <c r="G931" s="983"/>
      <c r="I931" s="490"/>
    </row>
    <row r="932" spans="1:9" ht="12.75" customHeight="1">
      <c r="A932" s="984"/>
      <c r="B932" s="984"/>
      <c r="C932" s="984"/>
      <c r="D932" s="1825"/>
      <c r="E932" s="1825"/>
      <c r="F932" s="1825"/>
      <c r="G932" s="983"/>
      <c r="I932" s="490"/>
    </row>
    <row r="933" spans="1:9" ht="12.75" customHeight="1">
      <c r="A933" s="984"/>
      <c r="B933" s="984"/>
      <c r="C933" s="984"/>
      <c r="D933" s="1825"/>
      <c r="E933" s="1825"/>
      <c r="F933" s="1825"/>
      <c r="G933" s="983"/>
      <c r="I933" s="490"/>
    </row>
    <row r="934" spans="1:9" ht="12.75" customHeight="1">
      <c r="A934" s="984"/>
      <c r="B934" s="984"/>
      <c r="C934" s="984"/>
      <c r="D934" s="118"/>
      <c r="E934" s="983"/>
      <c r="F934" s="983"/>
      <c r="G934" s="983"/>
      <c r="I934" s="490"/>
    </row>
    <row r="935" spans="1:9" ht="12.75" customHeight="1">
      <c r="A935" s="984"/>
      <c r="B935" s="485" t="s">
        <v>2761</v>
      </c>
      <c r="C935" s="984"/>
      <c r="D935" s="1835" t="s">
        <v>2025</v>
      </c>
      <c r="E935" s="1835"/>
      <c r="F935" s="1835"/>
      <c r="G935" s="983"/>
      <c r="I935" s="490"/>
    </row>
    <row r="936" spans="1:9" ht="12.75" customHeight="1">
      <c r="A936" s="984"/>
      <c r="B936" s="984"/>
      <c r="C936" s="984"/>
      <c r="D936" s="118"/>
      <c r="E936" s="983"/>
      <c r="F936" s="983"/>
      <c r="G936" s="983"/>
      <c r="I936" s="490"/>
    </row>
    <row r="937" spans="1:9" ht="12.75" customHeight="1">
      <c r="A937" s="984"/>
      <c r="B937" s="485" t="s">
        <v>2761</v>
      </c>
      <c r="C937" s="984"/>
      <c r="D937" s="1835" t="s">
        <v>2026</v>
      </c>
      <c r="E937" s="1835"/>
      <c r="F937" s="1835"/>
      <c r="G937" s="983"/>
      <c r="I937" s="490"/>
    </row>
    <row r="938" spans="1:9" ht="12.75" customHeight="1">
      <c r="A938" s="174"/>
      <c r="B938" s="174"/>
      <c r="C938" s="174"/>
      <c r="D938" s="2"/>
      <c r="E938" s="3"/>
      <c r="F938" s="983"/>
      <c r="G938" s="983"/>
      <c r="I938" s="490"/>
    </row>
    <row r="939" spans="1:9" ht="12.75" customHeight="1">
      <c r="A939" s="992"/>
      <c r="B939" s="485" t="s">
        <v>2761</v>
      </c>
      <c r="C939" s="993"/>
      <c r="D939" s="1802" t="s">
        <v>1764</v>
      </c>
      <c r="E939" s="1802"/>
      <c r="F939" s="1802"/>
      <c r="G939" s="994"/>
      <c r="I939" s="490"/>
    </row>
    <row r="940" spans="1:9" ht="12.75" customHeight="1">
      <c r="A940" s="992"/>
      <c r="B940" s="992"/>
      <c r="C940" s="993"/>
      <c r="D940" s="1802"/>
      <c r="E940" s="1802"/>
      <c r="F940" s="1802"/>
      <c r="G940" s="994"/>
      <c r="I940" s="490"/>
    </row>
    <row r="941" spans="1:9" ht="12.75" customHeight="1">
      <c r="A941" s="992"/>
      <c r="B941" s="992"/>
      <c r="C941" s="993"/>
      <c r="D941" s="1802"/>
      <c r="E941" s="1802"/>
      <c r="F941" s="1802"/>
      <c r="G941" s="994"/>
      <c r="I941" s="490"/>
    </row>
    <row r="942" spans="1:9" ht="12.75" customHeight="1">
      <c r="A942" s="992"/>
      <c r="B942" s="992"/>
      <c r="C942" s="993"/>
      <c r="D942" s="1802"/>
      <c r="E942" s="1802"/>
      <c r="F942" s="1802"/>
      <c r="G942" s="994"/>
      <c r="I942" s="490"/>
    </row>
    <row r="943" spans="1:9" ht="12.75" customHeight="1">
      <c r="A943" s="992"/>
      <c r="B943" s="992"/>
      <c r="C943" s="993"/>
      <c r="D943" s="1802"/>
      <c r="E943" s="1802"/>
      <c r="F943" s="1802"/>
      <c r="G943" s="994"/>
      <c r="I943" s="490"/>
    </row>
    <row r="944" spans="1:9" ht="12.75" customHeight="1">
      <c r="A944" s="992"/>
      <c r="B944" s="992"/>
      <c r="C944" s="993"/>
      <c r="D944" s="1802"/>
      <c r="E944" s="1802"/>
      <c r="F944" s="1802"/>
      <c r="G944" s="994"/>
      <c r="I944" s="490"/>
    </row>
    <row r="945" spans="1:9" ht="12.75" customHeight="1">
      <c r="A945" s="992"/>
      <c r="B945" s="992"/>
      <c r="C945" s="993"/>
      <c r="D945" s="1802"/>
      <c r="E945" s="1802"/>
      <c r="F945" s="1802"/>
      <c r="G945" s="994"/>
      <c r="I945" s="490"/>
    </row>
    <row r="946" spans="1:9" ht="12.75" customHeight="1">
      <c r="A946" s="992"/>
      <c r="B946" s="992"/>
      <c r="C946" s="993"/>
      <c r="D946" s="1802"/>
      <c r="E946" s="1802"/>
      <c r="F946" s="1802"/>
      <c r="G946" s="994"/>
      <c r="I946" s="490"/>
    </row>
    <row r="947" spans="1:9" ht="12.75" customHeight="1">
      <c r="A947" s="992"/>
      <c r="B947" s="992"/>
      <c r="C947" s="993"/>
      <c r="D947" s="1802"/>
      <c r="E947" s="1802"/>
      <c r="F947" s="1802"/>
      <c r="G947" s="994"/>
      <c r="I947" s="490"/>
    </row>
    <row r="948" spans="1:9" ht="12.75" customHeight="1">
      <c r="A948" s="174"/>
      <c r="B948" s="174"/>
      <c r="C948" s="174"/>
      <c r="D948" s="2"/>
      <c r="E948" s="3"/>
      <c r="F948" s="983"/>
      <c r="G948" s="983"/>
      <c r="I948" s="490"/>
    </row>
    <row r="949" spans="1:9" ht="12.75" customHeight="1">
      <c r="A949" s="175"/>
      <c r="B949" s="485" t="s">
        <v>2760</v>
      </c>
      <c r="C949" s="174"/>
      <c r="D949" s="1860" t="s">
        <v>1858</v>
      </c>
      <c r="E949" s="1860"/>
      <c r="F949" s="1860"/>
      <c r="G949" s="983"/>
      <c r="I949" s="490"/>
    </row>
    <row r="950" spans="1:9" ht="12.75" customHeight="1">
      <c r="A950" s="175"/>
      <c r="B950" s="175"/>
      <c r="C950" s="174"/>
      <c r="D950" s="1860"/>
      <c r="E950" s="1860"/>
      <c r="F950" s="1860"/>
      <c r="G950" s="983"/>
      <c r="I950" s="490"/>
    </row>
    <row r="951" spans="1:9" ht="12.75" customHeight="1">
      <c r="A951" s="175"/>
      <c r="B951" s="175"/>
      <c r="C951" s="174"/>
      <c r="D951" s="1860"/>
      <c r="E951" s="1860"/>
      <c r="F951" s="1860"/>
      <c r="G951" s="983"/>
      <c r="I951" s="490"/>
    </row>
    <row r="952" spans="1:9" ht="12.75" customHeight="1">
      <c r="A952" s="175"/>
      <c r="B952" s="175"/>
      <c r="C952" s="174"/>
      <c r="D952" s="1860"/>
      <c r="E952" s="1860"/>
      <c r="F952" s="1860"/>
      <c r="G952" s="983"/>
      <c r="I952" s="490"/>
    </row>
    <row r="953" spans="1:9" ht="12.75" customHeight="1">
      <c r="A953" s="175"/>
      <c r="B953" s="175"/>
      <c r="C953" s="174"/>
      <c r="D953" s="1860"/>
      <c r="E953" s="1860"/>
      <c r="F953" s="1860"/>
      <c r="G953" s="983"/>
      <c r="I953" s="490"/>
    </row>
    <row r="954" spans="1:9" ht="12.75" customHeight="1">
      <c r="A954" s="175"/>
      <c r="B954" s="175"/>
      <c r="C954" s="174"/>
      <c r="D954" s="1860"/>
      <c r="E954" s="1860"/>
      <c r="F954" s="1860"/>
      <c r="G954" s="983"/>
      <c r="I954" s="490"/>
    </row>
    <row r="955" spans="1:9" ht="12.75" customHeight="1">
      <c r="A955" s="175"/>
      <c r="B955" s="175"/>
      <c r="C955" s="174"/>
      <c r="D955" s="1860"/>
      <c r="E955" s="1860"/>
      <c r="F955" s="1860"/>
      <c r="G955" s="983"/>
      <c r="I955" s="490"/>
    </row>
    <row r="956" spans="1:9" ht="12.75" customHeight="1">
      <c r="A956" s="175"/>
      <c r="B956" s="175"/>
      <c r="C956" s="174"/>
      <c r="D956" s="1021"/>
      <c r="E956" s="1021"/>
      <c r="F956" s="1021"/>
      <c r="G956" s="983"/>
      <c r="I956" s="490"/>
    </row>
    <row r="957" spans="1:9" ht="12.75" customHeight="1">
      <c r="A957" s="175"/>
      <c r="B957" s="485" t="s">
        <v>2761</v>
      </c>
      <c r="C957" s="174"/>
      <c r="D957" s="1801" t="s">
        <v>2090</v>
      </c>
      <c r="E957" s="1801"/>
      <c r="F957" s="1801"/>
      <c r="G957" s="983"/>
      <c r="I957" s="490"/>
    </row>
    <row r="958" spans="1:9" ht="12.75" customHeight="1">
      <c r="A958" s="175"/>
      <c r="B958" s="175"/>
      <c r="C958" s="174"/>
      <c r="D958" s="1801"/>
      <c r="E958" s="1801"/>
      <c r="F958" s="1801"/>
      <c r="G958" s="983"/>
      <c r="I958" s="490"/>
    </row>
    <row r="959" spans="1:9" ht="12.75" customHeight="1">
      <c r="A959" s="175"/>
      <c r="B959" s="175"/>
      <c r="C959" s="174"/>
      <c r="D959" s="1801"/>
      <c r="E959" s="1801"/>
      <c r="F959" s="1801"/>
      <c r="G959" s="983"/>
      <c r="I959" s="490"/>
    </row>
    <row r="960" spans="1:9" ht="12.75" customHeight="1">
      <c r="A960" s="175"/>
      <c r="B960" s="175"/>
      <c r="C960" s="174"/>
      <c r="D960" s="1801"/>
      <c r="E960" s="1801"/>
      <c r="F960" s="1801"/>
      <c r="G960" s="983"/>
      <c r="I960" s="490"/>
    </row>
    <row r="961" spans="1:9" ht="12.75" customHeight="1">
      <c r="A961" s="175"/>
      <c r="B961" s="175"/>
      <c r="C961" s="174"/>
      <c r="D961" s="1801"/>
      <c r="E961" s="1801"/>
      <c r="F961" s="1801"/>
      <c r="G961" s="983"/>
      <c r="I961" s="490"/>
    </row>
    <row r="962" spans="1:9" ht="12.75" customHeight="1">
      <c r="A962" s="175"/>
      <c r="B962" s="175"/>
      <c r="C962" s="174"/>
      <c r="D962" s="1801"/>
      <c r="E962" s="1801"/>
      <c r="F962" s="1801"/>
      <c r="G962" s="983"/>
      <c r="I962" s="490"/>
    </row>
    <row r="963" spans="1:9" ht="12.75" customHeight="1">
      <c r="A963" s="175"/>
      <c r="B963" s="175"/>
      <c r="C963" s="174"/>
      <c r="D963" s="1021"/>
      <c r="E963" s="1021"/>
      <c r="F963" s="1021"/>
      <c r="G963" s="983"/>
      <c r="I963" s="490"/>
    </row>
    <row r="964" spans="1:9" ht="12.75" customHeight="1">
      <c r="A964" s="984"/>
      <c r="B964" s="485" t="s">
        <v>2761</v>
      </c>
      <c r="C964" s="984"/>
      <c r="D964" s="1825" t="s">
        <v>1769</v>
      </c>
      <c r="E964" s="1825"/>
      <c r="F964" s="1825"/>
      <c r="G964" s="983"/>
      <c r="I964" s="490"/>
    </row>
    <row r="965" spans="1:9" ht="12.75" customHeight="1">
      <c r="A965" s="984"/>
      <c r="B965" s="984"/>
      <c r="C965" s="984"/>
      <c r="D965" s="1825"/>
      <c r="E965" s="1825"/>
      <c r="F965" s="1825"/>
      <c r="G965" s="983"/>
      <c r="I965" s="490"/>
    </row>
    <row r="966" spans="1:9" ht="12.75" customHeight="1">
      <c r="A966" s="984"/>
      <c r="B966" s="984"/>
      <c r="C966" s="984"/>
      <c r="D966" s="1825"/>
      <c r="E966" s="1825"/>
      <c r="F966" s="182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2761</v>
      </c>
      <c r="C969" s="174"/>
      <c r="D969" s="1802" t="s">
        <v>1857</v>
      </c>
      <c r="E969" s="1802"/>
      <c r="F969" s="1802"/>
      <c r="G969" s="983"/>
      <c r="I969" s="490"/>
    </row>
    <row r="970" spans="1:9" ht="12.75" customHeight="1">
      <c r="A970" s="175"/>
      <c r="B970" s="175"/>
      <c r="C970" s="174"/>
      <c r="D970" s="1802"/>
      <c r="E970" s="1802"/>
      <c r="F970" s="1802"/>
      <c r="G970" s="983"/>
      <c r="I970" s="490"/>
    </row>
    <row r="971" spans="1:9" ht="12.75" customHeight="1">
      <c r="A971" s="175"/>
      <c r="B971" s="175"/>
      <c r="C971" s="174"/>
      <c r="D971" s="1802"/>
      <c r="E971" s="1802"/>
      <c r="F971" s="1802"/>
      <c r="G971" s="983"/>
      <c r="I971" s="490"/>
    </row>
    <row r="972" spans="1:9" ht="12.75" customHeight="1">
      <c r="A972" s="175"/>
      <c r="B972" s="175"/>
      <c r="C972" s="174"/>
      <c r="D972" s="1802"/>
      <c r="E972" s="1802"/>
      <c r="F972" s="1802"/>
      <c r="G972" s="983"/>
      <c r="I972" s="490"/>
    </row>
    <row r="973" spans="1:9" ht="12.75" customHeight="1">
      <c r="A973" s="984"/>
      <c r="B973" s="984"/>
      <c r="C973" s="984"/>
      <c r="D973" s="975"/>
      <c r="E973" s="975"/>
      <c r="F973" s="975"/>
      <c r="G973" s="975"/>
      <c r="I973" s="490"/>
    </row>
    <row r="974" spans="1:9" ht="12.75" customHeight="1">
      <c r="A974" s="354"/>
      <c r="B974" s="354"/>
      <c r="C974" s="354"/>
      <c r="D974" s="1855" t="s">
        <v>1770</v>
      </c>
      <c r="E974" s="1855"/>
      <c r="F974" s="1855"/>
      <c r="G974" s="3"/>
      <c r="I974" s="490"/>
    </row>
    <row r="975" spans="1:9" ht="12.75" customHeight="1">
      <c r="A975" s="175"/>
      <c r="B975" s="485" t="s">
        <v>2761</v>
      </c>
      <c r="C975" s="354"/>
      <c r="D975" s="1835" t="s">
        <v>1793</v>
      </c>
      <c r="E975" s="1835"/>
      <c r="F975" s="1835"/>
      <c r="G975" s="3"/>
      <c r="I975" s="490"/>
    </row>
    <row r="976" spans="1:9" ht="12.75" customHeight="1">
      <c r="A976" s="354"/>
      <c r="B976" s="354"/>
      <c r="C976" s="354"/>
      <c r="D976" s="3"/>
      <c r="E976" s="3"/>
      <c r="F976" s="3"/>
      <c r="G976" s="3"/>
      <c r="I976" s="490"/>
    </row>
    <row r="977" spans="1:9" ht="12.75" customHeight="1">
      <c r="A977" s="354"/>
      <c r="B977" s="354"/>
      <c r="C977" s="354"/>
      <c r="D977" s="1855" t="s">
        <v>1771</v>
      </c>
      <c r="E977" s="1855"/>
      <c r="F977" s="1855"/>
      <c r="G977"/>
      <c r="I977" s="490"/>
    </row>
    <row r="978" spans="1:9" ht="12.75" customHeight="1">
      <c r="A978" s="175"/>
      <c r="B978" s="485" t="s">
        <v>2760</v>
      </c>
      <c r="C978" s="354"/>
      <c r="D978" s="1478" t="s">
        <v>2027</v>
      </c>
      <c r="E978" s="1478"/>
      <c r="F978" s="1478"/>
      <c r="G978"/>
      <c r="I978" s="490"/>
    </row>
    <row r="979" spans="1:9" ht="12.75" customHeight="1">
      <c r="A979" s="175"/>
      <c r="B979" s="175"/>
      <c r="C979" s="354"/>
      <c r="D979" s="1478"/>
      <c r="E979" s="1478"/>
      <c r="F979" s="1478"/>
      <c r="G979"/>
      <c r="I979" s="490"/>
    </row>
    <row r="980" spans="1:9" ht="12.75" customHeight="1">
      <c r="A980" s="175"/>
      <c r="B980" s="175"/>
      <c r="C980" s="354"/>
      <c r="D980" s="1478"/>
      <c r="E980" s="1478"/>
      <c r="F980" s="1478"/>
      <c r="G980"/>
      <c r="I980" s="490"/>
    </row>
    <row r="981" spans="1:9" ht="12.75" customHeight="1">
      <c r="A981" s="175"/>
      <c r="B981" s="175"/>
      <c r="C981" s="354"/>
      <c r="D981" s="1478"/>
      <c r="E981" s="1478"/>
      <c r="F981" s="1478"/>
      <c r="G981"/>
      <c r="I981" s="490"/>
    </row>
    <row r="982" spans="1:9" ht="12.75" customHeight="1">
      <c r="A982" s="175"/>
      <c r="B982" s="175"/>
      <c r="C982" s="354"/>
      <c r="D982" s="1478"/>
      <c r="E982" s="1478"/>
      <c r="F982" s="1478"/>
      <c r="G982"/>
      <c r="I982" s="490"/>
    </row>
    <row r="983" spans="1:9" ht="12.75" customHeight="1">
      <c r="A983" s="175"/>
      <c r="B983" s="175"/>
      <c r="C983" s="354"/>
      <c r="D983" s="1478"/>
      <c r="E983" s="1478"/>
      <c r="F983" s="1478"/>
      <c r="G983"/>
      <c r="I983" s="490"/>
    </row>
    <row r="984" spans="1:9" ht="12.75" customHeight="1">
      <c r="A984" s="175"/>
      <c r="B984" s="175"/>
      <c r="C984" s="354"/>
      <c r="D984" s="1478"/>
      <c r="E984" s="1478"/>
      <c r="F984" s="1478"/>
      <c r="G984"/>
      <c r="I984" s="490"/>
    </row>
    <row r="985" spans="1:9" ht="12.75" customHeight="1">
      <c r="A985" s="175"/>
      <c r="B985" s="175"/>
      <c r="C985" s="354"/>
      <c r="D985" s="1478"/>
      <c r="E985" s="1478"/>
      <c r="F985" s="1478"/>
      <c r="G985"/>
      <c r="I985" s="490"/>
    </row>
    <row r="986" spans="1:9" ht="12.75" customHeight="1">
      <c r="A986" s="175"/>
      <c r="B986" s="175"/>
      <c r="C986" s="354"/>
      <c r="D986" s="1478"/>
      <c r="E986" s="1478"/>
      <c r="F986" s="1478"/>
      <c r="G986"/>
      <c r="I986" s="490"/>
    </row>
    <row r="987" spans="1:9" ht="12.75" customHeight="1">
      <c r="A987" s="175"/>
      <c r="B987" s="175"/>
      <c r="C987" s="354"/>
      <c r="D987" s="1478"/>
      <c r="E987" s="1478"/>
      <c r="F987" s="1478"/>
      <c r="G987"/>
      <c r="I987" s="490"/>
    </row>
    <row r="988" spans="1:9" ht="12.75" customHeight="1">
      <c r="A988" s="175"/>
      <c r="B988" s="175"/>
      <c r="C988" s="354"/>
      <c r="D988" s="1478"/>
      <c r="E988" s="1478"/>
      <c r="F988" s="1478"/>
      <c r="G988"/>
      <c r="I988" s="490"/>
    </row>
    <row r="989" spans="1:9" ht="12.75" customHeight="1">
      <c r="A989" s="175"/>
      <c r="B989" s="175"/>
      <c r="C989" s="354"/>
      <c r="D989" s="1478"/>
      <c r="E989" s="1478"/>
      <c r="F989" s="1478"/>
      <c r="G989"/>
      <c r="I989" s="490"/>
    </row>
    <row r="990" spans="1:9" ht="12.75" customHeight="1">
      <c r="A990" s="175"/>
      <c r="B990" s="175"/>
      <c r="C990" s="354"/>
      <c r="D990" s="1478"/>
      <c r="E990" s="1478"/>
      <c r="F990" s="1478"/>
      <c r="G990"/>
      <c r="I990" s="490"/>
    </row>
    <row r="991" spans="1:9" ht="12.75" customHeight="1">
      <c r="A991" s="175"/>
      <c r="B991" s="175"/>
      <c r="C991" s="354"/>
      <c r="D991" s="1478"/>
      <c r="E991" s="1478"/>
      <c r="F991" s="1478"/>
      <c r="G991"/>
      <c r="I991" s="490"/>
    </row>
    <row r="992" spans="1:9" ht="12.75" customHeight="1">
      <c r="A992" s="175"/>
      <c r="B992" s="175"/>
      <c r="C992" s="354"/>
      <c r="D992" s="1478"/>
      <c r="E992" s="1478"/>
      <c r="F992" s="1478"/>
      <c r="G992" s="3"/>
      <c r="I992" s="490"/>
    </row>
    <row r="993" spans="1:9" ht="12.75" customHeight="1">
      <c r="A993" s="354"/>
      <c r="B993" s="354"/>
      <c r="C993" s="354"/>
      <c r="D993" s="3"/>
      <c r="E993" s="3"/>
      <c r="F993" s="3"/>
      <c r="G993" s="3"/>
      <c r="I993" s="490"/>
    </row>
    <row r="994" spans="1:9" ht="12.75" customHeight="1">
      <c r="A994" s="1843" t="s">
        <v>1772</v>
      </c>
      <c r="B994" s="1843"/>
      <c r="C994" s="1843"/>
      <c r="D994" s="1843"/>
      <c r="E994" s="1843"/>
      <c r="F994" s="1843"/>
      <c r="G994" s="1843"/>
      <c r="H994" s="1023"/>
      <c r="I994" s="1147"/>
    </row>
    <row r="995" spans="1:9" ht="12.75" customHeight="1">
      <c r="A995" s="118"/>
      <c r="B995" s="118"/>
      <c r="C995" s="354"/>
      <c r="D995" s="3"/>
      <c r="E995" s="3"/>
      <c r="F995" s="3"/>
      <c r="G995" s="3"/>
      <c r="I995" s="490"/>
    </row>
    <row r="996" spans="1:9" ht="12.75" customHeight="1">
      <c r="A996" s="354"/>
      <c r="B996" s="354"/>
      <c r="C996" s="984"/>
      <c r="D996" s="1855" t="s">
        <v>1794</v>
      </c>
      <c r="E996" s="1855"/>
      <c r="F996" s="1855"/>
      <c r="G996" s="3"/>
      <c r="I996" s="490"/>
    </row>
    <row r="997" spans="1:9" ht="12.75" customHeight="1">
      <c r="A997" s="172"/>
      <c r="B997" s="172"/>
      <c r="C997" s="172"/>
      <c r="D997" s="1835" t="s">
        <v>1773</v>
      </c>
      <c r="E997" s="1835"/>
      <c r="F997" s="1835"/>
      <c r="G997" s="3"/>
      <c r="I997" s="490"/>
    </row>
    <row r="998" spans="1:9" ht="12.75" customHeight="1">
      <c r="A998" s="172"/>
      <c r="B998" s="172"/>
      <c r="C998" s="172"/>
      <c r="D998" s="3"/>
      <c r="E998" s="3"/>
      <c r="F998" s="983"/>
      <c r="G998"/>
      <c r="I998" s="490"/>
    </row>
    <row r="999" spans="1:9" ht="12.75" customHeight="1">
      <c r="A999" s="354"/>
      <c r="B999" s="485" t="s">
        <v>2760</v>
      </c>
      <c r="C999" s="354"/>
      <c r="D999" s="1863" t="s">
        <v>1886</v>
      </c>
      <c r="E999" s="1863"/>
      <c r="F999" s="1863"/>
      <c r="G999"/>
      <c r="I999" s="490"/>
    </row>
    <row r="1000" spans="1:9" ht="12.75" customHeight="1">
      <c r="A1000" s="354"/>
      <c r="B1000" s="354"/>
      <c r="C1000" s="354"/>
      <c r="D1000" s="1863"/>
      <c r="E1000" s="1863"/>
      <c r="F1000" s="1863"/>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500" t="s">
        <v>1885</v>
      </c>
      <c r="E1002" s="1500"/>
      <c r="F1002" s="1500"/>
      <c r="G1002"/>
      <c r="I1002" s="490"/>
    </row>
    <row r="1003" spans="1:9" ht="12.75" customHeight="1">
      <c r="A1003" s="354"/>
      <c r="B1003" s="354"/>
      <c r="C1003" s="354"/>
      <c r="D1003" s="1500"/>
      <c r="E1003" s="1500"/>
      <c r="F1003" s="1500"/>
      <c r="G1003"/>
      <c r="I1003" s="490"/>
    </row>
    <row r="1004" spans="1:9" ht="12.75" customHeight="1">
      <c r="A1004" s="174"/>
      <c r="B1004" s="174"/>
      <c r="C1004" s="174"/>
      <c r="D1004" s="1500"/>
      <c r="E1004" s="1500"/>
      <c r="F1004" s="1500"/>
      <c r="G1004"/>
      <c r="I1004" s="490"/>
    </row>
    <row r="1005" spans="1:9" ht="12.75" customHeight="1">
      <c r="A1005" s="174"/>
      <c r="B1005" s="174"/>
      <c r="C1005" s="174"/>
      <c r="D1005" s="1500"/>
      <c r="E1005" s="1500"/>
      <c r="F1005" s="1500"/>
      <c r="G1005"/>
      <c r="I1005" s="490"/>
    </row>
    <row r="1006" spans="1:9" ht="12.75" customHeight="1">
      <c r="A1006" s="174"/>
      <c r="B1006" s="174"/>
      <c r="C1006" s="174"/>
      <c r="D1006" s="335"/>
      <c r="E1006" s="335"/>
      <c r="F1006" s="335"/>
      <c r="G1006"/>
      <c r="I1006" s="490"/>
    </row>
    <row r="1007" spans="1:9" ht="12.75" customHeight="1">
      <c r="A1007" s="174"/>
      <c r="B1007" s="485" t="s">
        <v>2761</v>
      </c>
      <c r="C1007" s="174"/>
      <c r="D1007" s="1478" t="s">
        <v>1774</v>
      </c>
      <c r="E1007" s="1478"/>
      <c r="F1007" s="1478"/>
      <c r="G1007"/>
      <c r="I1007" s="490"/>
    </row>
    <row r="1008" spans="1:9" ht="12.75" customHeight="1">
      <c r="A1008" s="174"/>
      <c r="B1008" s="174"/>
      <c r="C1008" s="174"/>
      <c r="D1008" s="1478"/>
      <c r="E1008" s="1478"/>
      <c r="F1008" s="1478"/>
      <c r="G1008"/>
      <c r="I1008" s="490"/>
    </row>
    <row r="1009" spans="1:9" ht="12.75" customHeight="1">
      <c r="A1009" s="174"/>
      <c r="B1009" s="174"/>
      <c r="C1009" s="174"/>
      <c r="D1009" s="1478"/>
      <c r="E1009" s="1478"/>
      <c r="F1009" s="1478"/>
      <c r="G1009"/>
      <c r="I1009" s="490"/>
    </row>
    <row r="1010" spans="1:9" ht="12.75" customHeight="1">
      <c r="A1010" s="174"/>
      <c r="B1010" s="174"/>
      <c r="C1010" s="174"/>
      <c r="D1010" s="1478"/>
      <c r="E1010" s="1478"/>
      <c r="F1010" s="1478"/>
      <c r="G1010"/>
      <c r="I1010" s="490"/>
    </row>
    <row r="1011" spans="1:9" ht="12.75" customHeight="1">
      <c r="A1011" s="174"/>
      <c r="B1011" s="174"/>
      <c r="C1011" s="174"/>
      <c r="D1011" s="441"/>
      <c r="E1011" s="441"/>
      <c r="F1011" s="441"/>
      <c r="G1011"/>
      <c r="I1011" s="490"/>
    </row>
    <row r="1012" spans="1:9" ht="12.75" customHeight="1">
      <c r="A1012" s="174"/>
      <c r="B1012" s="485" t="s">
        <v>2761</v>
      </c>
      <c r="C1012" s="174"/>
      <c r="D1012" s="1478" t="s">
        <v>2181</v>
      </c>
      <c r="E1012" s="1478"/>
      <c r="F1012" s="1478"/>
      <c r="G1012"/>
      <c r="I1012" s="490"/>
    </row>
    <row r="1013" spans="1:9" ht="12.75" customHeight="1">
      <c r="A1013" s="174"/>
      <c r="B1013" s="174"/>
      <c r="C1013" s="174"/>
      <c r="D1013" s="1478"/>
      <c r="E1013" s="1478"/>
      <c r="F1013" s="1478"/>
      <c r="G1013"/>
      <c r="I1013" s="490"/>
    </row>
    <row r="1014" spans="1:9" ht="12.75" customHeight="1">
      <c r="A1014" s="174"/>
      <c r="B1014" s="174"/>
      <c r="C1014" s="174"/>
      <c r="D1014" s="441"/>
      <c r="E1014" s="441"/>
      <c r="F1014" s="441"/>
      <c r="G1014"/>
      <c r="I1014" s="490"/>
    </row>
    <row r="1015" spans="1:9" ht="12.75" customHeight="1">
      <c r="A1015" s="175"/>
      <c r="B1015" s="485" t="s">
        <v>2761</v>
      </c>
      <c r="C1015" s="354"/>
      <c r="D1015" s="1835" t="s">
        <v>1775</v>
      </c>
      <c r="E1015" s="1835"/>
      <c r="F1015" s="1835"/>
      <c r="G1015"/>
      <c r="I1015" s="490"/>
    </row>
    <row r="1016" spans="1:9" ht="12.75" customHeight="1">
      <c r="A1016" s="354"/>
      <c r="B1016" s="354"/>
      <c r="C1016" s="354"/>
      <c r="D1016" s="3"/>
      <c r="E1016" s="3"/>
      <c r="F1016" s="3"/>
      <c r="G1016"/>
      <c r="I1016" s="490"/>
    </row>
    <row r="1017" spans="1:9" ht="12.75" customHeight="1">
      <c r="A1017" s="175"/>
      <c r="B1017" s="485" t="s">
        <v>2761</v>
      </c>
      <c r="C1017" s="354"/>
      <c r="D1017" s="1835" t="s">
        <v>1776</v>
      </c>
      <c r="E1017" s="1835"/>
      <c r="F1017" s="1835"/>
      <c r="G1017"/>
      <c r="I1017" s="490"/>
    </row>
    <row r="1018" spans="1:9" ht="12.75" customHeight="1">
      <c r="A1018" s="354"/>
      <c r="B1018" s="354"/>
      <c r="C1018" s="354"/>
      <c r="D1018" s="118"/>
      <c r="E1018" s="3"/>
      <c r="F1018" s="3"/>
      <c r="G1018"/>
      <c r="I1018" s="490"/>
    </row>
    <row r="1019" spans="1:9" ht="12.75" customHeight="1">
      <c r="A1019" s="175"/>
      <c r="B1019" s="485" t="s">
        <v>2760</v>
      </c>
      <c r="C1019" s="354"/>
      <c r="D1019" s="1835" t="s">
        <v>1777</v>
      </c>
      <c r="E1019" s="1835"/>
      <c r="F1019" s="1835"/>
      <c r="G1019"/>
      <c r="I1019" s="490"/>
    </row>
    <row r="1020" spans="1:9" ht="12.75" customHeight="1">
      <c r="A1020" s="354"/>
      <c r="B1020" s="354"/>
      <c r="C1020" s="354"/>
      <c r="D1020" s="118"/>
      <c r="E1020" s="3"/>
      <c r="F1020" s="3"/>
      <c r="G1020"/>
      <c r="I1020" s="490"/>
    </row>
    <row r="1021" spans="1:9" ht="12.75" customHeight="1">
      <c r="A1021" s="175"/>
      <c r="B1021" s="485" t="s">
        <v>2761</v>
      </c>
      <c r="C1021" s="354"/>
      <c r="D1021" s="1478" t="s">
        <v>1778</v>
      </c>
      <c r="E1021" s="1478"/>
      <c r="F1021" s="1478"/>
      <c r="G1021"/>
      <c r="I1021" s="490"/>
    </row>
    <row r="1022" spans="1:9" ht="12.75" customHeight="1">
      <c r="A1022" s="175"/>
      <c r="B1022" s="175"/>
      <c r="C1022" s="354"/>
      <c r="D1022" s="1478"/>
      <c r="E1022" s="1478"/>
      <c r="F1022" s="1478"/>
      <c r="G1022"/>
      <c r="I1022" s="490"/>
    </row>
    <row r="1023" spans="1:9" ht="12.75" customHeight="1">
      <c r="A1023" s="175"/>
      <c r="B1023" s="175"/>
      <c r="C1023" s="354"/>
      <c r="D1023" s="118"/>
      <c r="E1023" s="3"/>
      <c r="F1023" s="3"/>
      <c r="G1023" s="3"/>
      <c r="I1023" s="490"/>
    </row>
    <row r="1024" spans="1:9" ht="12.75" customHeight="1">
      <c r="A1024" s="254"/>
      <c r="B1024" s="485" t="s">
        <v>2761</v>
      </c>
      <c r="C1024" s="995"/>
      <c r="D1024" s="1851" t="s">
        <v>1779</v>
      </c>
      <c r="E1024" s="1851"/>
      <c r="F1024" s="1851"/>
      <c r="G1024" s="996"/>
      <c r="I1024" s="490"/>
    </row>
    <row r="1025" spans="1:9" ht="12.75" customHeight="1">
      <c r="A1025" s="995"/>
      <c r="B1025" s="995"/>
      <c r="C1025" s="995"/>
      <c r="D1025" s="1851"/>
      <c r="E1025" s="1851"/>
      <c r="F1025" s="1851"/>
      <c r="G1025" s="996"/>
      <c r="I1025" s="490"/>
    </row>
    <row r="1026" spans="1:9" ht="12.75" customHeight="1">
      <c r="A1026" s="995"/>
      <c r="B1026" s="995"/>
      <c r="C1026" s="995"/>
      <c r="D1026" s="979"/>
      <c r="E1026" s="996"/>
      <c r="F1026" s="996"/>
      <c r="G1026" s="996"/>
      <c r="I1026" s="490"/>
    </row>
    <row r="1027" spans="1:9" ht="12.75" customHeight="1">
      <c r="A1027" s="254"/>
      <c r="B1027" s="485" t="s">
        <v>2760</v>
      </c>
      <c r="C1027" s="995"/>
      <c r="D1027" s="1864" t="s">
        <v>1780</v>
      </c>
      <c r="E1027" s="1864"/>
      <c r="F1027" s="1864"/>
      <c r="G1027" s="996"/>
      <c r="I1027" s="490"/>
    </row>
    <row r="1028" spans="1:9" ht="12.75" customHeight="1">
      <c r="A1028" s="995"/>
      <c r="B1028" s="995"/>
      <c r="C1028" s="995"/>
      <c r="D1028" s="979"/>
      <c r="E1028" s="996"/>
      <c r="F1028" s="996"/>
      <c r="G1028" s="996"/>
      <c r="I1028" s="490"/>
    </row>
    <row r="1029" spans="1:9" ht="12.75" customHeight="1">
      <c r="A1029" s="175"/>
      <c r="B1029" s="485" t="s">
        <v>2761</v>
      </c>
      <c r="C1029" s="354"/>
      <c r="D1029" s="1835" t="s">
        <v>1781</v>
      </c>
      <c r="E1029" s="1835"/>
      <c r="F1029" s="1835"/>
      <c r="G1029" s="3"/>
      <c r="I1029" s="490"/>
    </row>
    <row r="1030" spans="1:9" ht="12.75" customHeight="1">
      <c r="A1030" s="175"/>
      <c r="B1030" s="175"/>
      <c r="C1030" s="354"/>
      <c r="D1030" s="118"/>
      <c r="E1030" s="3"/>
      <c r="F1030" s="3"/>
      <c r="G1030" s="3"/>
      <c r="I1030" s="490"/>
    </row>
    <row r="1031" spans="1:9" ht="12.75" customHeight="1">
      <c r="A1031" s="175"/>
      <c r="B1031" s="485" t="s">
        <v>2761</v>
      </c>
      <c r="C1031" s="354"/>
      <c r="D1031" s="1478" t="s">
        <v>1782</v>
      </c>
      <c r="E1031" s="1478"/>
      <c r="F1031" s="1478"/>
      <c r="G1031" s="3"/>
      <c r="I1031" s="490"/>
    </row>
    <row r="1032" spans="1:9" ht="12.75" customHeight="1">
      <c r="A1032" s="175"/>
      <c r="B1032" s="175"/>
      <c r="C1032" s="354"/>
      <c r="D1032" s="1478"/>
      <c r="E1032" s="1478"/>
      <c r="F1032" s="1478"/>
      <c r="G1032" s="3"/>
      <c r="I1032" s="490"/>
    </row>
    <row r="1033" spans="1:9" ht="12.75" customHeight="1">
      <c r="A1033" s="354"/>
      <c r="B1033" s="354"/>
      <c r="C1033" s="354"/>
      <c r="D1033" s="3"/>
      <c r="E1033" s="3"/>
      <c r="F1033" s="3"/>
      <c r="G1033" s="3"/>
      <c r="I1033" s="490"/>
    </row>
    <row r="1034" spans="1:9" ht="12.75" customHeight="1">
      <c r="A1034" s="1843" t="s">
        <v>1783</v>
      </c>
      <c r="B1034" s="1843"/>
      <c r="C1034" s="1843"/>
      <c r="D1034" s="1843"/>
      <c r="E1034" s="1843"/>
      <c r="F1034" s="1843"/>
      <c r="G1034" s="1843"/>
      <c r="H1034" s="1023"/>
      <c r="I1034" s="1147"/>
    </row>
    <row r="1035" spans="1:9" ht="12.75" customHeight="1">
      <c r="A1035" s="354"/>
      <c r="B1035" s="354"/>
      <c r="C1035" s="354"/>
      <c r="D1035" s="3"/>
      <c r="E1035" s="3"/>
      <c r="F1035" s="3"/>
      <c r="G1035" s="3"/>
      <c r="I1035" s="490"/>
    </row>
    <row r="1036" spans="1:9" ht="12.75" customHeight="1">
      <c r="A1036" s="354"/>
      <c r="B1036" s="354"/>
      <c r="C1036" s="354"/>
      <c r="D1036" s="1859" t="s">
        <v>1784</v>
      </c>
      <c r="E1036" s="1859"/>
      <c r="F1036" s="1859"/>
      <c r="G1036" s="3"/>
      <c r="I1036" s="490"/>
    </row>
    <row r="1037" spans="1:9" ht="12.75" customHeight="1">
      <c r="A1037" s="354"/>
      <c r="B1037" s="354"/>
      <c r="C1037" s="354"/>
      <c r="D1037" s="1864" t="s">
        <v>1785</v>
      </c>
      <c r="E1037" s="1864"/>
      <c r="F1037" s="1864"/>
      <c r="G1037" s="3"/>
      <c r="I1037" s="490"/>
    </row>
    <row r="1038" spans="1:9" ht="12.75" customHeight="1">
      <c r="A1038" s="172"/>
      <c r="B1038" s="172"/>
      <c r="C1038" s="172"/>
      <c r="D1038" s="3"/>
      <c r="E1038" s="3"/>
      <c r="F1038" s="3"/>
      <c r="G1038" s="3"/>
      <c r="I1038" s="490"/>
    </row>
    <row r="1039" spans="1:9" ht="12.75" customHeight="1">
      <c r="A1039" s="175"/>
      <c r="B1039" s="175"/>
      <c r="C1039" s="174"/>
      <c r="D1039" s="1859" t="s">
        <v>1799</v>
      </c>
      <c r="E1039" s="1859"/>
      <c r="F1039" s="1859"/>
      <c r="G1039" s="3"/>
      <c r="I1039" s="490"/>
    </row>
    <row r="1040" spans="1:9" ht="12.75" customHeight="1">
      <c r="A1040" s="354"/>
      <c r="B1040" s="485" t="s">
        <v>2760</v>
      </c>
      <c r="C1040" s="354"/>
      <c r="D1040" s="1864" t="s">
        <v>1269</v>
      </c>
      <c r="E1040" s="1864"/>
      <c r="F1040" s="1864"/>
      <c r="G1040" s="3"/>
      <c r="I1040" s="490"/>
    </row>
    <row r="1041" spans="1:9" ht="12.75" customHeight="1">
      <c r="A1041" s="354"/>
      <c r="B1041" s="175"/>
      <c r="C1041" s="354"/>
      <c r="D1041" s="1864" t="s">
        <v>1786</v>
      </c>
      <c r="E1041" s="1864"/>
      <c r="F1041" s="1864"/>
      <c r="G1041" s="3"/>
      <c r="I1041" s="490"/>
    </row>
    <row r="1042" spans="1:9" ht="12.75" customHeight="1">
      <c r="A1042" s="354"/>
      <c r="B1042" s="354"/>
      <c r="C1042" s="354"/>
      <c r="D1042" s="1864"/>
      <c r="E1042" s="1864"/>
      <c r="F1042" s="1864"/>
      <c r="G1042" s="3"/>
      <c r="I1042" s="490"/>
    </row>
    <row r="1043" spans="1:9" ht="12.75" customHeight="1">
      <c r="A1043" s="1843" t="s">
        <v>1795</v>
      </c>
      <c r="B1043" s="1843"/>
      <c r="C1043" s="1843"/>
      <c r="D1043" s="1843"/>
      <c r="E1043" s="1843"/>
      <c r="F1043" s="1843"/>
      <c r="G1043" s="1843"/>
      <c r="H1043" s="1023"/>
      <c r="I1043" s="1147"/>
    </row>
    <row r="1044" spans="1:9" ht="12.75" customHeight="1">
      <c r="A1044" s="118"/>
      <c r="B1044" s="118"/>
      <c r="C1044" s="354"/>
      <c r="D1044" s="3"/>
      <c r="E1044" s="3"/>
      <c r="F1044" s="3"/>
      <c r="G1044" s="3"/>
      <c r="I1044" s="490"/>
    </row>
    <row r="1045" spans="1:9" ht="12.75" hidden="1" customHeight="1">
      <c r="A1045" s="118"/>
      <c r="B1045" s="402"/>
      <c r="D1045" s="1865" t="s">
        <v>1270</v>
      </c>
      <c r="E1045" s="1865"/>
      <c r="F1045" s="1865"/>
      <c r="G1045" s="3"/>
      <c r="I1045" s="490"/>
    </row>
    <row r="1046" spans="1:9" ht="12.75" hidden="1" customHeight="1">
      <c r="A1046" s="118"/>
      <c r="B1046" s="485" t="s">
        <v>306</v>
      </c>
      <c r="D1046" s="1830" t="s">
        <v>1269</v>
      </c>
      <c r="E1046" s="1830"/>
      <c r="F1046" s="1830"/>
      <c r="G1046" s="3"/>
      <c r="I1046" s="490"/>
    </row>
    <row r="1047" spans="1:9" ht="12.75" hidden="1" customHeight="1">
      <c r="A1047" s="118"/>
      <c r="B1047" s="402"/>
      <c r="D1047" s="1830" t="s">
        <v>1796</v>
      </c>
      <c r="E1047" s="1830"/>
      <c r="F1047" s="1830"/>
      <c r="G1047" s="3"/>
      <c r="I1047" s="490"/>
    </row>
    <row r="1048" spans="1:9" ht="12.75" hidden="1" customHeight="1">
      <c r="A1048" s="118"/>
      <c r="B1048" s="402"/>
      <c r="D1048" s="444"/>
      <c r="E1048" s="444"/>
      <c r="F1048" s="444"/>
      <c r="G1048" s="3"/>
      <c r="I1048" s="490"/>
    </row>
    <row r="1049" spans="1:9" ht="12.75" customHeight="1">
      <c r="A1049" s="118"/>
      <c r="B1049" s="118"/>
      <c r="C1049" s="354"/>
      <c r="D1049" s="1866" t="s">
        <v>1064</v>
      </c>
      <c r="E1049" s="1866"/>
      <c r="F1049" s="1866"/>
      <c r="G1049" s="3"/>
      <c r="I1049" s="490"/>
    </row>
    <row r="1050" spans="1:9" ht="12.75" customHeight="1">
      <c r="A1050" s="319"/>
      <c r="B1050" s="319"/>
      <c r="C1050" s="319"/>
      <c r="D1050" s="1836" t="s">
        <v>2198</v>
      </c>
      <c r="E1050" s="1836"/>
      <c r="F1050" s="1836"/>
      <c r="G1050" s="98"/>
      <c r="I1050" s="490"/>
    </row>
    <row r="1051" spans="1:9" ht="12.75" customHeight="1">
      <c r="A1051" s="175"/>
      <c r="B1051" s="485" t="s">
        <v>2761</v>
      </c>
      <c r="C1051" s="354"/>
      <c r="D1051" s="1836" t="s">
        <v>983</v>
      </c>
      <c r="E1051" s="1836"/>
      <c r="F1051" s="1836"/>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843" t="s">
        <v>2609</v>
      </c>
      <c r="B1054" s="1843"/>
      <c r="C1054" s="1843"/>
      <c r="D1054" s="1843"/>
      <c r="E1054" s="1843"/>
      <c r="F1054" s="1843"/>
      <c r="G1054" s="1843"/>
      <c r="H1054" s="1023"/>
      <c r="I1054" s="1147"/>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2761</v>
      </c>
      <c r="C1059" s="402"/>
      <c r="D1059" s="1817" t="s">
        <v>1800</v>
      </c>
      <c r="E1059" s="1817"/>
      <c r="F1059" s="1817"/>
      <c r="I1059" s="490"/>
    </row>
    <row r="1060" spans="1:9">
      <c r="A1060" s="402"/>
      <c r="B1060" s="402"/>
      <c r="C1060" s="402"/>
      <c r="D1060" s="1817"/>
      <c r="E1060" s="1817"/>
      <c r="F1060" s="1817"/>
      <c r="I1060" s="490"/>
    </row>
    <row r="1061" spans="1:9">
      <c r="A1061" s="402"/>
      <c r="B1061" s="402"/>
      <c r="C1061" s="402"/>
      <c r="D1061" s="1817"/>
      <c r="E1061" s="1817"/>
      <c r="F1061" s="1817"/>
      <c r="I1061" s="490"/>
    </row>
    <row r="1062" spans="1:9">
      <c r="A1062" s="402"/>
      <c r="B1062" s="402"/>
      <c r="C1062" s="402"/>
      <c r="D1062" s="1817"/>
      <c r="E1062" s="1817"/>
      <c r="F1062" s="1817"/>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2613</v>
      </c>
      <c r="I1065" s="490"/>
    </row>
    <row r="1066" spans="1:9">
      <c r="A1066" s="402"/>
      <c r="B1066" s="402"/>
      <c r="C1066" s="402"/>
      <c r="I1066" s="490"/>
    </row>
    <row r="1067" spans="1:9">
      <c r="A1067" s="402"/>
      <c r="B1067" s="485" t="s">
        <v>2760</v>
      </c>
      <c r="C1067" s="402"/>
      <c r="D1067" s="402" t="s">
        <v>1798</v>
      </c>
      <c r="I1067" s="490"/>
    </row>
    <row r="1068" spans="1:9">
      <c r="A1068" s="402"/>
      <c r="B1068" s="402"/>
      <c r="C1068" s="402"/>
      <c r="I1068" s="490"/>
    </row>
    <row r="1069" spans="1:9">
      <c r="A1069" s="402"/>
      <c r="B1069" s="485" t="s">
        <v>2761</v>
      </c>
      <c r="C1069" s="402"/>
      <c r="D1069" s="1817" t="s">
        <v>1801</v>
      </c>
      <c r="E1069" s="1817"/>
      <c r="F1069" s="1817"/>
      <c r="I1069" s="490"/>
    </row>
    <row r="1070" spans="1:9">
      <c r="A1070" s="402"/>
      <c r="B1070" s="402"/>
      <c r="C1070" s="402"/>
      <c r="D1070" s="1817"/>
      <c r="E1070" s="1817"/>
      <c r="F1070" s="1817"/>
      <c r="I1070" s="490"/>
    </row>
    <row r="1071" spans="1:9">
      <c r="A1071" s="402"/>
      <c r="B1071" s="402"/>
      <c r="C1071" s="402"/>
      <c r="D1071" s="1817"/>
      <c r="E1071" s="1817"/>
      <c r="F1071" s="1817"/>
      <c r="I1071" s="490"/>
    </row>
    <row r="1072" spans="1:9">
      <c r="A1072" s="402"/>
      <c r="B1072" s="402"/>
      <c r="C1072" s="402"/>
      <c r="D1072" s="1817"/>
      <c r="E1072" s="1817"/>
      <c r="F1072" s="1817"/>
      <c r="I1072" s="490"/>
    </row>
    <row r="1073" spans="1:9">
      <c r="A1073" s="402"/>
      <c r="B1073" s="402"/>
      <c r="C1073" s="402"/>
      <c r="D1073" s="1817"/>
      <c r="E1073" s="1817"/>
      <c r="F1073" s="1817"/>
      <c r="I1073" s="490"/>
    </row>
    <row r="1074" spans="1:9">
      <c r="A1074" s="402"/>
      <c r="B1074" s="402"/>
      <c r="C1074" s="402"/>
      <c r="I1074" s="490"/>
    </row>
    <row r="1075" spans="1:9">
      <c r="A1075" s="1843" t="s">
        <v>1802</v>
      </c>
      <c r="B1075" s="1843"/>
      <c r="C1075" s="1843"/>
      <c r="D1075" s="1843"/>
      <c r="E1075" s="1843"/>
      <c r="F1075" s="1843"/>
      <c r="G1075" s="1843"/>
      <c r="H1075" s="1023"/>
      <c r="I1075" s="1147"/>
    </row>
    <row r="1076" spans="1:9">
      <c r="A1076" s="402"/>
      <c r="B1076" s="402"/>
      <c r="C1076" s="402"/>
      <c r="I1076" s="490"/>
    </row>
    <row r="1077" spans="1:9">
      <c r="A1077" s="402"/>
      <c r="B1077" s="402"/>
      <c r="C1077" s="402"/>
      <c r="I1077" s="490"/>
    </row>
    <row r="1078" spans="1:9">
      <c r="A1078" s="402"/>
      <c r="B1078" s="485" t="s">
        <v>2760</v>
      </c>
      <c r="C1078" s="402"/>
      <c r="D1078" s="527" t="s">
        <v>1805</v>
      </c>
      <c r="I1078" s="490"/>
    </row>
    <row r="1079" spans="1:9">
      <c r="A1079" s="402"/>
      <c r="B1079" s="402"/>
      <c r="C1079" s="402"/>
      <c r="D1079" s="527" t="s">
        <v>2622</v>
      </c>
      <c r="I1079" s="490"/>
    </row>
    <row r="1080" spans="1:9">
      <c r="A1080" s="402"/>
      <c r="B1080" s="402"/>
      <c r="C1080" s="402"/>
      <c r="D1080" s="527"/>
      <c r="I1080" s="490"/>
    </row>
    <row r="1081" spans="1:9">
      <c r="A1081" s="402"/>
      <c r="B1081" s="485" t="s">
        <v>2760</v>
      </c>
      <c r="C1081" s="402"/>
      <c r="D1081" s="1797" t="s">
        <v>2615</v>
      </c>
      <c r="E1081" s="1797"/>
      <c r="F1081" s="1797"/>
      <c r="I1081" s="490"/>
    </row>
    <row r="1082" spans="1:9">
      <c r="A1082" s="402"/>
      <c r="B1082" s="402"/>
      <c r="C1082" s="402"/>
      <c r="D1082" s="1797"/>
      <c r="E1082" s="1797"/>
      <c r="F1082" s="1797"/>
      <c r="I1082" s="490"/>
    </row>
    <row r="1083" spans="1:9">
      <c r="A1083" s="402"/>
      <c r="B1083" s="402"/>
      <c r="C1083" s="402"/>
      <c r="D1083" s="527" t="s">
        <v>2614</v>
      </c>
      <c r="I1083" s="490"/>
    </row>
    <row r="1084" spans="1:9">
      <c r="A1084" s="402"/>
      <c r="B1084" s="402"/>
      <c r="C1084" s="402"/>
      <c r="D1084" s="527"/>
      <c r="I1084" s="490"/>
    </row>
    <row r="1085" spans="1:9">
      <c r="A1085" s="402"/>
      <c r="B1085" s="485" t="s">
        <v>2761</v>
      </c>
      <c r="C1085" s="402"/>
      <c r="D1085" s="119" t="s">
        <v>2623</v>
      </c>
      <c r="I1085" s="490"/>
    </row>
    <row r="1086" spans="1:9">
      <c r="A1086" s="402"/>
      <c r="B1086" s="402"/>
      <c r="C1086" s="402"/>
      <c r="D1086" s="1478" t="s">
        <v>2625</v>
      </c>
      <c r="E1086" s="1478"/>
      <c r="F1086" s="1478"/>
      <c r="I1086" s="490"/>
    </row>
    <row r="1087" spans="1:9">
      <c r="A1087" s="402"/>
      <c r="B1087" s="402"/>
      <c r="C1087" s="402"/>
      <c r="D1087" s="1478"/>
      <c r="E1087" s="1478"/>
      <c r="F1087" s="1478"/>
      <c r="I1087" s="490"/>
    </row>
    <row r="1088" spans="1:9">
      <c r="A1088" s="402"/>
      <c r="B1088" s="402"/>
      <c r="C1088" s="402"/>
      <c r="D1088" s="1478"/>
      <c r="E1088" s="1478"/>
      <c r="F1088" s="1478"/>
      <c r="I1088" s="490"/>
    </row>
    <row r="1089" spans="1:9">
      <c r="A1089" s="402"/>
      <c r="B1089" s="402"/>
      <c r="C1089" s="402"/>
      <c r="D1089" s="1478"/>
      <c r="E1089" s="1478"/>
      <c r="F1089" s="1478"/>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1803</v>
      </c>
      <c r="I1092" s="490"/>
    </row>
    <row r="1093" spans="1:9">
      <c r="A1093" s="402"/>
      <c r="B1093" s="485" t="s">
        <v>2761</v>
      </c>
      <c r="C1093" s="402"/>
      <c r="D1093" s="1861" t="s">
        <v>1804</v>
      </c>
      <c r="E1093" s="1861"/>
      <c r="F1093" s="1861"/>
      <c r="I1093" s="490"/>
    </row>
    <row r="1094" spans="1:9">
      <c r="A1094" s="402"/>
      <c r="B1094" s="402"/>
      <c r="C1094" s="402"/>
      <c r="D1094" s="1861"/>
      <c r="E1094" s="1861"/>
      <c r="F1094" s="1861"/>
      <c r="I1094" s="490"/>
    </row>
    <row r="1095" spans="1:9">
      <c r="A1095" s="402"/>
      <c r="B1095" s="402"/>
      <c r="C1095" s="402"/>
      <c r="D1095" s="1861"/>
      <c r="E1095" s="1861"/>
      <c r="F1095" s="1861"/>
      <c r="I1095" s="490"/>
    </row>
    <row r="1096" spans="1:9">
      <c r="A1096" s="402"/>
      <c r="B1096" s="402"/>
      <c r="C1096" s="402"/>
      <c r="D1096" s="1861"/>
      <c r="E1096" s="1861"/>
      <c r="F1096" s="1861"/>
      <c r="I1096" s="490"/>
    </row>
    <row r="1097" spans="1:9">
      <c r="A1097" s="402"/>
      <c r="B1097" s="402"/>
      <c r="C1097" s="402"/>
      <c r="D1097" s="1861"/>
      <c r="E1097" s="1861"/>
      <c r="F1097" s="1861"/>
      <c r="I1097" s="490"/>
    </row>
    <row r="1098" spans="1:9">
      <c r="A1098" s="402"/>
      <c r="B1098" s="402"/>
      <c r="C1098" s="402"/>
      <c r="D1098" s="527" t="s">
        <v>2626</v>
      </c>
      <c r="I1098" s="490"/>
    </row>
    <row r="1099" spans="1:9">
      <c r="A1099" s="402"/>
      <c r="B1099" s="402"/>
      <c r="C1099" s="402"/>
      <c r="I1099" s="490"/>
    </row>
    <row r="1100" spans="1:9">
      <c r="A1100" s="402"/>
      <c r="B1100" s="485" t="s">
        <v>2761</v>
      </c>
      <c r="C1100" s="402"/>
      <c r="D1100" s="1812" t="s">
        <v>2219</v>
      </c>
      <c r="E1100" s="1812"/>
      <c r="F1100" s="1812"/>
      <c r="I1100" s="490"/>
    </row>
    <row r="1101" spans="1:9">
      <c r="A1101" s="402"/>
      <c r="B1101" s="402"/>
      <c r="C1101" s="402"/>
      <c r="D1101" s="1812"/>
      <c r="E1101" s="1812"/>
      <c r="F1101" s="1812"/>
      <c r="I1101" s="490"/>
    </row>
    <row r="1102" spans="1:9">
      <c r="A1102" s="402"/>
      <c r="B1102" s="402"/>
      <c r="C1102" s="402"/>
      <c r="D1102" s="1812"/>
      <c r="E1102" s="1812"/>
      <c r="F1102" s="1812"/>
      <c r="I1102" s="490"/>
    </row>
    <row r="1103" spans="1:9">
      <c r="A1103" s="402"/>
      <c r="B1103" s="402"/>
      <c r="C1103" s="402"/>
      <c r="I1103" s="490"/>
    </row>
    <row r="1104" spans="1:9">
      <c r="A1104" s="1843" t="s">
        <v>1806</v>
      </c>
      <c r="B1104" s="1843"/>
      <c r="C1104" s="1843"/>
      <c r="D1104" s="1843"/>
      <c r="E1104" s="1843"/>
      <c r="F1104" s="1843"/>
      <c r="G1104" s="1843"/>
      <c r="H1104" s="1023"/>
      <c r="I1104" s="1147"/>
    </row>
    <row r="1105" spans="1:9">
      <c r="A1105" s="402"/>
      <c r="B1105" s="402"/>
      <c r="C1105" s="402"/>
      <c r="I1105" s="490"/>
    </row>
    <row r="1106" spans="1:9">
      <c r="A1106" s="402"/>
      <c r="B1106" s="402"/>
      <c r="C1106" s="402"/>
      <c r="I1106" s="490"/>
    </row>
    <row r="1107" spans="1:9" ht="12.75" customHeight="1">
      <c r="A1107" s="402"/>
      <c r="B1107" s="485" t="s">
        <v>2761</v>
      </c>
      <c r="C1107" s="402"/>
      <c r="D1107" s="1759" t="s">
        <v>1900</v>
      </c>
      <c r="E1107" s="1759"/>
      <c r="F1107" s="1759"/>
      <c r="I1107" s="490"/>
    </row>
    <row r="1108" spans="1:9">
      <c r="A1108" s="402"/>
      <c r="B1108" s="402"/>
      <c r="C1108" s="402"/>
      <c r="D1108" s="1759"/>
      <c r="E1108" s="1759"/>
      <c r="F1108" s="1759"/>
      <c r="I1108" s="490"/>
    </row>
    <row r="1109" spans="1:9">
      <c r="A1109" s="402"/>
      <c r="B1109" s="402"/>
      <c r="C1109" s="402"/>
      <c r="D1109" s="1862" t="s">
        <v>2630</v>
      </c>
      <c r="E1109" s="1478"/>
      <c r="F1109" s="1478"/>
      <c r="I1109" s="490"/>
    </row>
    <row r="1110" spans="1:9">
      <c r="A1110" s="402"/>
      <c r="B1110" s="402"/>
      <c r="C1110" s="402"/>
      <c r="D1110" s="527"/>
      <c r="I1110" s="490"/>
    </row>
    <row r="1111" spans="1:9">
      <c r="A1111" s="402"/>
      <c r="B1111" s="485" t="s">
        <v>2761</v>
      </c>
      <c r="C1111" s="402"/>
      <c r="D1111" s="1861" t="s">
        <v>2578</v>
      </c>
      <c r="E1111" s="1861"/>
      <c r="F1111" s="1861"/>
      <c r="I1111" s="490"/>
    </row>
    <row r="1112" spans="1:9">
      <c r="A1112" s="402"/>
      <c r="B1112" s="402"/>
      <c r="C1112" s="402"/>
      <c r="D1112" s="1861"/>
      <c r="E1112" s="1861"/>
      <c r="F1112" s="1861"/>
      <c r="I1112" s="490"/>
    </row>
    <row r="1113" spans="1:9">
      <c r="A1113" s="402"/>
      <c r="B1113" s="402"/>
      <c r="C1113" s="402"/>
      <c r="D1113" s="1861"/>
      <c r="E1113" s="1861"/>
      <c r="F1113" s="1861"/>
      <c r="I1113" s="490"/>
    </row>
    <row r="1114" spans="1:9">
      <c r="A1114" s="402"/>
      <c r="B1114" s="402"/>
      <c r="C1114" s="402"/>
      <c r="D1114" s="527"/>
      <c r="I1114" s="490"/>
    </row>
    <row r="1115" spans="1:9">
      <c r="A1115" s="402"/>
      <c r="B1115" s="485" t="s">
        <v>2761</v>
      </c>
      <c r="C1115" s="402"/>
      <c r="D1115" s="1861" t="s">
        <v>2597</v>
      </c>
      <c r="E1115" s="1861"/>
      <c r="F1115" s="1861"/>
      <c r="I1115" s="490"/>
    </row>
    <row r="1116" spans="1:9">
      <c r="A1116" s="402"/>
      <c r="B1116" s="402"/>
      <c r="C1116" s="402"/>
      <c r="D1116" s="1861"/>
      <c r="E1116" s="1861"/>
      <c r="F1116" s="1861"/>
      <c r="I1116" s="490"/>
    </row>
    <row r="1117" spans="1:9">
      <c r="A1117" s="402"/>
      <c r="B1117" s="402"/>
      <c r="C1117" s="402"/>
      <c r="D1117" s="1861"/>
      <c r="E1117" s="1861"/>
      <c r="F1117" s="1861"/>
      <c r="I1117" s="490"/>
    </row>
    <row r="1118" spans="1:9">
      <c r="A1118" s="402"/>
      <c r="B1118" s="402"/>
      <c r="C1118" s="402"/>
      <c r="D1118" s="1861"/>
      <c r="E1118" s="1861"/>
      <c r="F1118" s="1861"/>
      <c r="I1118" s="490"/>
    </row>
    <row r="1119" spans="1:9">
      <c r="A1119" s="402"/>
      <c r="B1119" s="402"/>
      <c r="C1119" s="402"/>
      <c r="D1119" s="1861"/>
      <c r="E1119" s="1861"/>
      <c r="F1119" s="1861"/>
      <c r="I1119" s="490"/>
    </row>
    <row r="1120" spans="1:9">
      <c r="A1120" s="402"/>
      <c r="B1120" s="402"/>
      <c r="C1120" s="402"/>
      <c r="D1120" s="527"/>
      <c r="I1120" s="480"/>
    </row>
    <row r="1121" spans="1:9">
      <c r="A1121" s="402"/>
      <c r="B1121" s="485" t="s">
        <v>2761</v>
      </c>
      <c r="C1121" s="402"/>
      <c r="D1121" s="1861" t="s">
        <v>1807</v>
      </c>
      <c r="E1121" s="1861"/>
      <c r="F1121" s="1861"/>
      <c r="I1121" s="490"/>
    </row>
    <row r="1122" spans="1:9">
      <c r="A1122" s="402"/>
      <c r="B1122" s="402"/>
      <c r="C1122" s="402"/>
      <c r="D1122" s="1861"/>
      <c r="E1122" s="1861"/>
      <c r="F1122" s="1861"/>
      <c r="I1122" s="490"/>
    </row>
    <row r="1123" spans="1:9">
      <c r="A1123" s="402"/>
      <c r="B1123" s="402"/>
      <c r="C1123" s="402"/>
      <c r="D1123" s="1861"/>
      <c r="E1123" s="1861"/>
      <c r="F1123" s="1861"/>
      <c r="I1123" s="490"/>
    </row>
    <row r="1124" spans="1:9">
      <c r="A1124" s="402"/>
      <c r="B1124" s="402"/>
      <c r="C1124" s="402"/>
      <c r="D1124" s="527"/>
      <c r="I1124" s="490"/>
    </row>
    <row r="1125" spans="1:9">
      <c r="A1125" s="402"/>
      <c r="B1125" s="485" t="s">
        <v>2760</v>
      </c>
      <c r="C1125" s="402"/>
      <c r="D1125" s="1500" t="s">
        <v>1859</v>
      </c>
      <c r="E1125" s="1500"/>
      <c r="F1125" s="1500"/>
      <c r="I1125" s="490"/>
    </row>
    <row r="1126" spans="1:9">
      <c r="A1126" s="402"/>
      <c r="B1126" s="402"/>
      <c r="C1126" s="402"/>
      <c r="D1126" s="1500"/>
      <c r="E1126" s="1500"/>
      <c r="F1126" s="1500"/>
      <c r="I1126" s="490"/>
    </row>
    <row r="1127" spans="1:9">
      <c r="A1127" s="402"/>
      <c r="B1127" s="402"/>
      <c r="C1127" s="402"/>
      <c r="D1127" s="1500"/>
      <c r="E1127" s="1500"/>
      <c r="F1127" s="1500"/>
      <c r="I1127" s="490"/>
    </row>
    <row r="1128" spans="1:9">
      <c r="A1128" s="402"/>
      <c r="B1128" s="402"/>
      <c r="C1128" s="402"/>
      <c r="D1128" s="975"/>
      <c r="E1128" s="975"/>
      <c r="F1128" s="975"/>
      <c r="I1128" s="490"/>
    </row>
    <row r="1129" spans="1:9" ht="15.75" customHeight="1">
      <c r="A1129" s="402"/>
      <c r="B1129" s="485" t="s">
        <v>2761</v>
      </c>
      <c r="C1129" s="402"/>
      <c r="D1129" s="1478" t="s">
        <v>1860</v>
      </c>
      <c r="E1129" s="1478"/>
      <c r="F1129" s="1478"/>
      <c r="I1129" s="490"/>
    </row>
    <row r="1130" spans="1:9">
      <c r="A1130" s="402"/>
      <c r="B1130" s="402"/>
      <c r="C1130" s="402"/>
      <c r="D1130" s="1478"/>
      <c r="E1130" s="1478"/>
      <c r="F1130" s="1478"/>
      <c r="I1130" s="490"/>
    </row>
    <row r="1131" spans="1:9">
      <c r="A1131" s="402"/>
      <c r="B1131" s="402"/>
      <c r="C1131" s="402"/>
      <c r="D1131" s="1478"/>
      <c r="E1131" s="1478"/>
      <c r="F1131" s="1478"/>
      <c r="I1131" s="490"/>
    </row>
    <row r="1132" spans="1:9">
      <c r="A1132" s="402"/>
      <c r="B1132" s="402"/>
      <c r="C1132" s="402"/>
      <c r="D1132" s="1478"/>
      <c r="E1132" s="1478"/>
      <c r="F1132" s="1478"/>
      <c r="I1132" s="490"/>
    </row>
    <row r="1133" spans="1:9">
      <c r="A1133" s="402"/>
      <c r="B1133" s="402"/>
      <c r="C1133" s="402"/>
      <c r="D1133" s="975"/>
      <c r="E1133" s="975"/>
      <c r="F1133" s="975"/>
      <c r="I1133" s="490"/>
    </row>
    <row r="1134" spans="1:9">
      <c r="A1134" s="402"/>
      <c r="B1134" s="485" t="s">
        <v>2761</v>
      </c>
      <c r="C1134" s="402"/>
      <c r="D1134" s="1500" t="s">
        <v>2607</v>
      </c>
      <c r="E1134" s="1500"/>
      <c r="F1134" s="1500"/>
      <c r="I1134" s="490"/>
    </row>
    <row r="1135" spans="1:9">
      <c r="A1135" s="402"/>
      <c r="B1135" s="402"/>
      <c r="C1135" s="402"/>
      <c r="D1135" s="1500"/>
      <c r="E1135" s="1500"/>
      <c r="F1135" s="1500"/>
      <c r="I1135" s="490"/>
    </row>
    <row r="1136" spans="1:9">
      <c r="A1136" s="402"/>
      <c r="B1136" s="402"/>
      <c r="C1136" s="402"/>
      <c r="D1136" s="1500"/>
      <c r="E1136" s="1500"/>
      <c r="F1136" s="1500"/>
      <c r="I1136" s="490"/>
    </row>
    <row r="1137" spans="1:9">
      <c r="A1137" s="402"/>
      <c r="B1137" s="402"/>
      <c r="C1137" s="402"/>
      <c r="D1137" s="1500"/>
      <c r="E1137" s="1500"/>
      <c r="F1137" s="1500"/>
      <c r="I1137" s="490"/>
    </row>
    <row r="1138" spans="1:9">
      <c r="A1138" s="402"/>
      <c r="B1138" s="402"/>
      <c r="C1138" s="402"/>
      <c r="D1138" s="1500"/>
      <c r="E1138" s="1500"/>
      <c r="F1138" s="1500"/>
      <c r="I1138" s="490"/>
    </row>
    <row r="1139" spans="1:9">
      <c r="A1139" s="402"/>
      <c r="B1139" s="402"/>
      <c r="C1139" s="402"/>
      <c r="D1139" s="1500"/>
      <c r="E1139" s="1500"/>
      <c r="F1139" s="1500"/>
      <c r="I1139" s="490"/>
    </row>
    <row r="1140" spans="1:9">
      <c r="A1140" s="402"/>
      <c r="B1140" s="402"/>
      <c r="C1140" s="402"/>
      <c r="D1140" s="975"/>
      <c r="E1140" s="975"/>
      <c r="F1140" s="975"/>
      <c r="I1140" s="490"/>
    </row>
    <row r="1141" spans="1:9">
      <c r="A1141" s="402"/>
      <c r="B1141" s="485" t="s">
        <v>2761</v>
      </c>
      <c r="C1141" s="402"/>
      <c r="D1141" s="1817" t="s">
        <v>2579</v>
      </c>
      <c r="E1141" s="1817"/>
      <c r="F1141" s="1817"/>
      <c r="I1141" s="1153"/>
    </row>
    <row r="1142" spans="1:9">
      <c r="A1142" s="402"/>
      <c r="B1142" s="402"/>
      <c r="C1142" s="402"/>
      <c r="D1142" s="1817"/>
      <c r="E1142" s="1817"/>
      <c r="F1142" s="1817"/>
      <c r="I1142" s="490"/>
    </row>
    <row r="1143" spans="1:9">
      <c r="A1143" s="402"/>
      <c r="B1143" s="402"/>
      <c r="C1143" s="402"/>
      <c r="D1143" s="1817"/>
      <c r="E1143" s="1817"/>
      <c r="F1143" s="1817"/>
    </row>
    <row r="1144" spans="1:9">
      <c r="A1144" s="402"/>
      <c r="B1144" s="402"/>
      <c r="C1144" s="402"/>
      <c r="D1144" s="1817"/>
      <c r="E1144" s="1817"/>
      <c r="F1144" s="1817"/>
    </row>
    <row r="1145" spans="1:9">
      <c r="A1145" s="402"/>
      <c r="B1145" s="402"/>
      <c r="C1145" s="402"/>
      <c r="D1145" s="1817"/>
      <c r="E1145" s="1817"/>
      <c r="F1145" s="181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9"/>
      <c r="H1553" s="1829"/>
      <c r="I1553" s="182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85" zoomScaleNormal="85" workbookViewId="0"/>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2424</v>
      </c>
      <c r="BE1" s="3"/>
      <c r="BF1" s="3"/>
    </row>
    <row r="2" spans="1:58" ht="12.95" customHeight="1">
      <c r="BD2" s="3" t="s">
        <v>2425</v>
      </c>
      <c r="BE2" s="3" t="s">
        <v>2426</v>
      </c>
      <c r="BF2" s="3" t="s">
        <v>2427</v>
      </c>
    </row>
    <row r="3" spans="1:58" ht="12.95" customHeight="1">
      <c r="BD3" s="3" t="s">
        <v>2519</v>
      </c>
      <c r="BE3" t="str">
        <f>AC220</f>
        <v>Inland (Fresno, Imperial, Kern, Kings, Madera, Merced, Riverside, San Bernardino, Stanislaus, and Tulare Counties)</v>
      </c>
    </row>
    <row r="4" spans="1:58" ht="12.95" customHeight="1">
      <c r="BD4" s="3" t="s">
        <v>2434</v>
      </c>
      <c r="BE4" s="1180"/>
    </row>
    <row r="5" spans="1:58" ht="12.95" customHeight="1">
      <c r="BD5" s="3" t="s">
        <v>2435</v>
      </c>
      <c r="BE5">
        <f>SUMIF($AC$726:$AC$760,"&lt;=20%",$G$726:G$760)</f>
        <v>0</v>
      </c>
      <c r="BF5" s="3" t="s">
        <v>2440</v>
      </c>
    </row>
    <row r="6" spans="1:58" ht="12.95" customHeight="1">
      <c r="BD6" s="3" t="s">
        <v>2436</v>
      </c>
      <c r="BE6" s="1183">
        <f>SUMIF($AC$726:$AC$760,"&lt;=25%",$G$726:G$760)-SUM($BE$5:BE5)</f>
        <v>0</v>
      </c>
    </row>
    <row r="7" spans="1:58" ht="12.95" customHeight="1">
      <c r="BD7" s="1181" t="s">
        <v>2428</v>
      </c>
      <c r="BE7" s="1183">
        <f>SUMIF($AC$726:$AC$760,"&lt;=30%",$G$726:G$760)-SUM($BE$5:BE6)</f>
        <v>24</v>
      </c>
    </row>
    <row r="8" spans="1:58" ht="26.25" customHeight="1">
      <c r="A8" s="1755" t="s">
        <v>100</v>
      </c>
      <c r="B8" s="1755"/>
      <c r="C8" s="1755"/>
      <c r="D8" s="1755"/>
      <c r="E8" s="1755"/>
      <c r="F8" s="1755"/>
      <c r="G8" s="1755"/>
      <c r="H8" s="1755"/>
      <c r="I8" s="1755"/>
      <c r="J8" s="1755"/>
      <c r="K8" s="1755"/>
      <c r="L8" s="1755"/>
      <c r="M8" s="1755"/>
      <c r="N8" s="1755"/>
      <c r="O8" s="1755"/>
      <c r="P8" s="1755"/>
      <c r="Q8" s="1755"/>
      <c r="R8" s="1755"/>
      <c r="S8" s="1755"/>
      <c r="T8" s="1755"/>
      <c r="U8" s="1755"/>
      <c r="V8" s="1755"/>
      <c r="W8" s="1755"/>
      <c r="X8" s="1755"/>
      <c r="Y8" s="1755"/>
      <c r="Z8" s="1755"/>
      <c r="AA8" s="1755"/>
      <c r="AB8" s="1755"/>
      <c r="AC8" s="1755"/>
      <c r="AD8" s="1755"/>
      <c r="AE8" s="1755"/>
      <c r="AF8" s="1755"/>
      <c r="AG8" s="1755"/>
      <c r="AH8" s="1755"/>
      <c r="AI8" s="1755"/>
      <c r="AJ8" s="1755"/>
      <c r="AK8" s="1755"/>
      <c r="AL8" s="1755"/>
      <c r="AM8" s="1755"/>
      <c r="AN8" s="1755"/>
      <c r="AO8" s="1755"/>
      <c r="AP8" s="1755"/>
      <c r="AQ8" s="1755"/>
      <c r="AR8" s="1755"/>
      <c r="AS8" s="1755"/>
      <c r="AT8" s="1755"/>
      <c r="AU8" s="894"/>
      <c r="AV8" s="894"/>
      <c r="AW8" s="894"/>
      <c r="AX8" s="894"/>
      <c r="AY8" s="894"/>
      <c r="BD8" s="3" t="s">
        <v>2437</v>
      </c>
      <c r="BE8" s="1183">
        <f>SUMIF($AC$726:$AC$760,"&lt;=35%",$G$726:G$760)-SUM($BE$5:BE7)</f>
        <v>0</v>
      </c>
    </row>
    <row r="9" spans="1:58" ht="12.95" customHeight="1">
      <c r="A9" s="1756" t="s">
        <v>2030</v>
      </c>
      <c r="B9" s="1756"/>
      <c r="C9" s="1756"/>
      <c r="D9" s="1756"/>
      <c r="E9" s="1756"/>
      <c r="F9" s="1756"/>
      <c r="G9" s="1756"/>
      <c r="H9" s="1756"/>
      <c r="I9" s="1756"/>
      <c r="J9" s="1756"/>
      <c r="K9" s="1756"/>
      <c r="L9" s="1756"/>
      <c r="M9" s="1756"/>
      <c r="N9" s="1756"/>
      <c r="O9" s="1756"/>
      <c r="P9" s="1756"/>
      <c r="Q9" s="1756"/>
      <c r="R9" s="1756"/>
      <c r="S9" s="1756"/>
      <c r="T9" s="1756"/>
      <c r="U9" s="1756"/>
      <c r="V9" s="1756"/>
      <c r="W9" s="1756"/>
      <c r="X9" s="1756"/>
      <c r="Y9" s="1756"/>
      <c r="Z9" s="1756"/>
      <c r="AA9" s="1756"/>
      <c r="AB9" s="1756"/>
      <c r="AC9" s="1756"/>
      <c r="AD9" s="1756"/>
      <c r="AE9" s="1756"/>
      <c r="AF9" s="1756"/>
      <c r="AG9" s="1756"/>
      <c r="AH9" s="1756"/>
      <c r="AI9" s="1756"/>
      <c r="AJ9" s="1756"/>
      <c r="AK9" s="1756"/>
      <c r="AL9" s="1756"/>
      <c r="AM9" s="1756"/>
      <c r="AN9" s="1756"/>
      <c r="AO9" s="1756"/>
      <c r="AP9" s="1756"/>
      <c r="AQ9" s="1756"/>
      <c r="AR9" s="1756"/>
      <c r="AS9" s="1756"/>
      <c r="AT9" s="1756"/>
      <c r="AU9" s="13"/>
      <c r="AV9" s="13"/>
      <c r="AW9" s="13"/>
      <c r="AX9" s="13"/>
      <c r="AY9" s="13"/>
      <c r="BD9" s="1182" t="s">
        <v>2429</v>
      </c>
      <c r="BE9" s="1183">
        <f>SUMIF($AC$726:$AC$760,"&lt;=40%",$G$726:G$760)-SUM($BE$5:BE8)</f>
        <v>0</v>
      </c>
    </row>
    <row r="10" spans="1:58" ht="12.95" customHeight="1">
      <c r="A10" s="1756" t="s">
        <v>2599</v>
      </c>
      <c r="B10" s="1756"/>
      <c r="C10" s="1756"/>
      <c r="D10" s="1756"/>
      <c r="E10" s="1756"/>
      <c r="F10" s="1756"/>
      <c r="G10" s="1756"/>
      <c r="H10" s="1756"/>
      <c r="I10" s="1756"/>
      <c r="J10" s="1756"/>
      <c r="K10" s="1756"/>
      <c r="L10" s="1756"/>
      <c r="M10" s="1756"/>
      <c r="N10" s="1756"/>
      <c r="O10" s="1756"/>
      <c r="P10" s="1756"/>
      <c r="Q10" s="1756"/>
      <c r="R10" s="1756"/>
      <c r="S10" s="1756"/>
      <c r="T10" s="1756"/>
      <c r="U10" s="1756"/>
      <c r="V10" s="1756"/>
      <c r="W10" s="1756"/>
      <c r="X10" s="1756"/>
      <c r="Y10" s="1756"/>
      <c r="Z10" s="1756"/>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3"/>
      <c r="AV10" s="13"/>
      <c r="AW10" s="13"/>
      <c r="AX10" s="13"/>
      <c r="AY10" s="13"/>
      <c r="BD10" s="3" t="s">
        <v>2438</v>
      </c>
      <c r="BE10" s="1183">
        <f>SUMIF($AC$726:$AC$760,"&lt;=45%",$G$726:G$760)-SUM($BE$5:BE9)</f>
        <v>0</v>
      </c>
    </row>
    <row r="11" spans="1:58" ht="12.95" customHeight="1">
      <c r="A11" s="1756" t="s">
        <v>2527</v>
      </c>
      <c r="B11" s="1756"/>
      <c r="C11" s="1756"/>
      <c r="D11" s="1756"/>
      <c r="E11" s="1756"/>
      <c r="F11" s="1756"/>
      <c r="G11" s="1756"/>
      <c r="H11" s="1756"/>
      <c r="I11" s="1756"/>
      <c r="J11" s="1756"/>
      <c r="K11" s="1756"/>
      <c r="L11" s="1756"/>
      <c r="M11" s="1756"/>
      <c r="N11" s="1756"/>
      <c r="O11" s="1756"/>
      <c r="P11" s="1756"/>
      <c r="Q11" s="1756"/>
      <c r="R11" s="1756"/>
      <c r="S11" s="1756"/>
      <c r="T11" s="1756"/>
      <c r="U11" s="1756"/>
      <c r="V11" s="1756"/>
      <c r="W11" s="1756"/>
      <c r="X11" s="1756"/>
      <c r="Y11" s="1756"/>
      <c r="Z11" s="1756"/>
      <c r="AA11" s="1756"/>
      <c r="AB11" s="1756"/>
      <c r="AC11" s="1756"/>
      <c r="AD11" s="1756"/>
      <c r="AE11" s="1756"/>
      <c r="AF11" s="1756"/>
      <c r="AG11" s="1756"/>
      <c r="AH11" s="1756"/>
      <c r="AI11" s="1756"/>
      <c r="AJ11" s="1756"/>
      <c r="AK11" s="1756"/>
      <c r="AL11" s="1756"/>
      <c r="AM11" s="1756"/>
      <c r="AN11" s="1756"/>
      <c r="AO11" s="1756"/>
      <c r="AP11" s="1756"/>
      <c r="AQ11" s="1756"/>
      <c r="AR11" s="1756"/>
      <c r="AS11" s="1756"/>
      <c r="AT11" s="1756"/>
      <c r="AU11" s="13"/>
      <c r="AV11" s="13"/>
      <c r="AW11" s="13"/>
      <c r="AX11" s="13"/>
      <c r="AY11" s="13"/>
      <c r="BD11" s="1181" t="s">
        <v>2430</v>
      </c>
      <c r="BE11" s="1183">
        <f>SUMIF($AC$726:$AC$760,"&lt;=50%",$G$726:G$760)-SUM($BE$5:BE10)</f>
        <v>24</v>
      </c>
    </row>
    <row r="12" spans="1:58" ht="12.95" customHeight="1">
      <c r="A12" s="1757" t="s">
        <v>2634</v>
      </c>
      <c r="B12" s="1757"/>
      <c r="C12" s="1757"/>
      <c r="D12" s="1757"/>
      <c r="E12" s="1757"/>
      <c r="F12" s="1757"/>
      <c r="G12" s="1757"/>
      <c r="H12" s="1757"/>
      <c r="I12" s="1757"/>
      <c r="J12" s="1757"/>
      <c r="K12" s="1757"/>
      <c r="L12" s="1757"/>
      <c r="M12" s="1757"/>
      <c r="N12" s="1757"/>
      <c r="O12" s="1757"/>
      <c r="P12" s="1757"/>
      <c r="Q12" s="1757"/>
      <c r="R12" s="1757"/>
      <c r="S12" s="1757"/>
      <c r="T12" s="1757"/>
      <c r="U12" s="1757"/>
      <c r="V12" s="1757"/>
      <c r="W12" s="1757"/>
      <c r="X12" s="1757"/>
      <c r="Y12" s="1757"/>
      <c r="Z12" s="1757"/>
      <c r="AA12" s="1757"/>
      <c r="AB12" s="1757"/>
      <c r="AC12" s="1757"/>
      <c r="AD12" s="1757"/>
      <c r="AE12" s="1757"/>
      <c r="AF12" s="1757"/>
      <c r="AG12" s="1757"/>
      <c r="AH12" s="1757"/>
      <c r="AI12" s="1757"/>
      <c r="AJ12" s="1757"/>
      <c r="AK12" s="1757"/>
      <c r="AL12" s="1757"/>
      <c r="AM12" s="1757"/>
      <c r="AN12" s="1757"/>
      <c r="AO12" s="1757"/>
      <c r="AP12" s="1757"/>
      <c r="AQ12" s="1757"/>
      <c r="AR12" s="1757"/>
      <c r="AS12" s="1757"/>
      <c r="AT12" s="1757"/>
      <c r="AU12" s="6"/>
      <c r="AV12" s="6"/>
      <c r="AW12" s="6"/>
      <c r="AX12" s="6"/>
      <c r="AY12" s="6"/>
      <c r="BD12" s="3" t="s">
        <v>2439</v>
      </c>
      <c r="BE12" s="1183">
        <f>SUMIF($AC$726:$AC$760,"&lt;=55%",$G$726:G$760)-SUM($BE$5:BE11)</f>
        <v>0</v>
      </c>
    </row>
    <row r="13" spans="1:58" ht="12.95" customHeight="1">
      <c r="A13" s="1586" t="s">
        <v>2031</v>
      </c>
      <c r="B13" s="1586"/>
      <c r="C13" s="1586"/>
      <c r="D13" s="1586"/>
      <c r="E13" s="1586"/>
      <c r="F13" s="1586"/>
      <c r="G13" s="1586"/>
      <c r="H13" s="1586"/>
      <c r="I13" s="1586"/>
      <c r="J13" s="1586"/>
      <c r="K13" s="1586"/>
      <c r="L13" s="1586"/>
      <c r="M13" s="1586"/>
      <c r="N13" s="1586"/>
      <c r="O13" s="1586"/>
      <c r="P13" s="1586"/>
      <c r="Q13" s="1586"/>
      <c r="R13" s="1586"/>
      <c r="S13" s="1586"/>
      <c r="T13" s="1586"/>
      <c r="U13" s="1586"/>
      <c r="V13" s="1586"/>
      <c r="W13" s="1586"/>
      <c r="X13" s="1586"/>
      <c r="Y13" s="1586"/>
      <c r="Z13" s="1586"/>
      <c r="AA13" s="1586"/>
      <c r="AB13" s="1586"/>
      <c r="AC13" s="1586"/>
      <c r="AD13" s="1586"/>
      <c r="AE13" s="1586"/>
      <c r="AF13" s="1586"/>
      <c r="AG13" s="1586"/>
      <c r="AH13" s="1586"/>
      <c r="AI13" s="1586"/>
      <c r="AJ13" s="1586"/>
      <c r="AK13" s="1586"/>
      <c r="AL13" s="1586"/>
      <c r="AM13" s="1586"/>
      <c r="AN13" s="1586"/>
      <c r="AO13" s="1586"/>
      <c r="AP13" s="1586"/>
      <c r="AQ13" s="1586"/>
      <c r="AR13" s="1586"/>
      <c r="AS13" s="1586"/>
      <c r="AT13" s="1586"/>
      <c r="AU13" s="895"/>
      <c r="AV13" s="895"/>
      <c r="AW13" s="895"/>
      <c r="AX13" s="895"/>
      <c r="AY13" s="895"/>
      <c r="BD13" s="1182" t="s">
        <v>2431</v>
      </c>
      <c r="BE13" s="1183">
        <f>SUMIF($AC$726:$AC$760,"&lt;=60%",$G$726:G$760)-SUM($BE$5:BE12)</f>
        <v>153</v>
      </c>
    </row>
    <row r="14" spans="1:58" ht="12.95" customHeight="1">
      <c r="A14" s="1586"/>
      <c r="B14" s="1586"/>
      <c r="C14" s="1586"/>
      <c r="D14" s="1586"/>
      <c r="E14" s="1586"/>
      <c r="F14" s="1586"/>
      <c r="G14" s="1586"/>
      <c r="H14" s="1586"/>
      <c r="I14" s="1586"/>
      <c r="J14" s="1586"/>
      <c r="K14" s="1586"/>
      <c r="L14" s="1586"/>
      <c r="M14" s="1586"/>
      <c r="N14" s="1586"/>
      <c r="O14" s="1586"/>
      <c r="P14" s="1586"/>
      <c r="Q14" s="1586"/>
      <c r="R14" s="1586"/>
      <c r="S14" s="1586"/>
      <c r="T14" s="1586"/>
      <c r="U14" s="1586"/>
      <c r="V14" s="1586"/>
      <c r="W14" s="1586"/>
      <c r="X14" s="1586"/>
      <c r="Y14" s="1586"/>
      <c r="Z14" s="1586"/>
      <c r="AA14" s="1586"/>
      <c r="AB14" s="1586"/>
      <c r="AC14" s="1586"/>
      <c r="AD14" s="1586"/>
      <c r="AE14" s="1586"/>
      <c r="AF14" s="1586"/>
      <c r="AG14" s="1586"/>
      <c r="AH14" s="1586"/>
      <c r="AI14" s="1586"/>
      <c r="AJ14" s="1586"/>
      <c r="AK14" s="1586"/>
      <c r="AL14" s="1586"/>
      <c r="AM14" s="1586"/>
      <c r="AN14" s="1586"/>
      <c r="AO14" s="1586"/>
      <c r="AP14" s="1586"/>
      <c r="AQ14" s="1586"/>
      <c r="AR14" s="1586"/>
      <c r="AS14" s="1586"/>
      <c r="AT14" s="1586"/>
      <c r="AU14" s="895"/>
      <c r="AV14" s="895"/>
      <c r="AW14" s="895"/>
      <c r="AX14" s="895"/>
      <c r="AY14" s="895"/>
      <c r="BD14" s="1181" t="s">
        <v>2432</v>
      </c>
      <c r="BE14" s="1183">
        <f>SUMIF($AC$726:$AC$760,"&lt;=70%",$G$726:G$760)-SUM($BE$5:BE13)</f>
        <v>36</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2433</v>
      </c>
      <c r="BE15" s="1183">
        <f>SUMIF($AC$726:$AC$760,"&lt;=80%",$G$726:G$760)-SUM($BE$5:BE14)</f>
        <v>0</v>
      </c>
    </row>
    <row r="16" spans="1:58" ht="12.95" customHeight="1">
      <c r="A16" s="57" t="s">
        <v>2032</v>
      </c>
      <c r="C16" s="4"/>
      <c r="D16" s="4"/>
      <c r="E16" s="4"/>
      <c r="F16" s="4"/>
      <c r="G16" s="4"/>
      <c r="H16" s="1493" t="s">
        <v>2762</v>
      </c>
      <c r="I16" s="1462"/>
      <c r="J16" s="1462"/>
      <c r="K16" s="1462"/>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BD16" s="1182" t="s">
        <v>654</v>
      </c>
      <c r="BE16" s="1183" t="str">
        <f>Application!H18</f>
        <v>Avenue 42 Apartments</v>
      </c>
    </row>
    <row r="17" spans="1:58" ht="12.95" customHeight="1">
      <c r="BD17" s="1181" t="s">
        <v>2445</v>
      </c>
      <c r="BE17" s="1183">
        <f>Application!AA943</f>
        <v>0</v>
      </c>
    </row>
    <row r="18" spans="1:58" ht="12.95" customHeight="1">
      <c r="A18" s="57" t="s">
        <v>101</v>
      </c>
      <c r="C18" s="4"/>
      <c r="D18" s="4"/>
      <c r="E18" s="4"/>
      <c r="F18" s="4"/>
      <c r="G18" s="4"/>
      <c r="H18" s="1435" t="s">
        <v>2642</v>
      </c>
      <c r="I18" s="1438"/>
      <c r="J18" s="1438"/>
      <c r="K18" s="1438"/>
      <c r="L18" s="1438"/>
      <c r="M18" s="1438"/>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c r="BD18" s="1182" t="s">
        <v>2446</v>
      </c>
      <c r="BE18" s="1183">
        <f>AA943</f>
        <v>0</v>
      </c>
    </row>
    <row r="19" spans="1:58" ht="12.95" customHeight="1">
      <c r="BD19" s="1181" t="s">
        <v>2447</v>
      </c>
      <c r="BE19" s="1183">
        <f>Application!M26</f>
        <v>5428757</v>
      </c>
    </row>
    <row r="20" spans="1:58" ht="12.95" customHeight="1">
      <c r="A20" s="1758" t="s">
        <v>871</v>
      </c>
      <c r="B20" s="1758"/>
      <c r="C20" s="1758"/>
      <c r="D20" s="1758"/>
      <c r="E20" s="1758"/>
      <c r="F20" s="1758"/>
      <c r="G20" s="1758"/>
      <c r="H20" s="1758"/>
      <c r="I20" s="1758"/>
      <c r="J20" s="1758"/>
      <c r="K20" s="1758"/>
      <c r="L20" s="1758"/>
      <c r="M20" s="1758"/>
      <c r="N20" s="1758"/>
      <c r="O20" s="1758"/>
      <c r="P20" s="1758"/>
      <c r="Q20" s="1758"/>
      <c r="R20" s="1758"/>
      <c r="S20" s="1758"/>
      <c r="T20" s="1758"/>
      <c r="U20" s="1758"/>
      <c r="V20" s="1758"/>
      <c r="W20" s="1758"/>
      <c r="X20" s="1758"/>
      <c r="Y20" s="1758"/>
      <c r="Z20" s="1758"/>
      <c r="AA20" s="1758"/>
      <c r="AB20" s="1758"/>
      <c r="AC20" s="1758"/>
      <c r="AD20" s="1758"/>
      <c r="AE20" s="1758"/>
      <c r="AF20" s="1758"/>
      <c r="AG20" s="1758"/>
      <c r="AH20" s="1758"/>
      <c r="AI20" s="1758"/>
      <c r="AJ20" s="1758"/>
      <c r="AK20" s="1758"/>
      <c r="AL20" s="1758"/>
      <c r="AM20" s="1758"/>
      <c r="AN20" s="1758"/>
      <c r="AO20" s="1758"/>
      <c r="AP20" s="1758"/>
      <c r="AQ20" s="1758"/>
      <c r="AR20" s="1758"/>
      <c r="AS20" s="1758"/>
      <c r="AT20" s="1758"/>
      <c r="AU20" s="896"/>
      <c r="AV20" s="896"/>
      <c r="AW20" s="896"/>
      <c r="AX20" s="896"/>
      <c r="AY20" s="896"/>
      <c r="BD20" s="1182" t="s">
        <v>2448</v>
      </c>
      <c r="BE20" s="1183">
        <f>Application!M27</f>
        <v>13000000</v>
      </c>
    </row>
    <row r="21" spans="1:58" ht="12.95" customHeight="1">
      <c r="A21" s="1782" t="s">
        <v>1007</v>
      </c>
      <c r="B21" s="1782"/>
      <c r="C21" s="1782"/>
      <c r="D21" s="1782"/>
      <c r="E21" s="1782"/>
      <c r="F21" s="1782"/>
      <c r="G21" s="1782"/>
      <c r="H21" s="1782"/>
      <c r="I21" s="1782"/>
      <c r="J21" s="1782"/>
      <c r="K21" s="1782"/>
      <c r="L21" s="1782"/>
      <c r="M21" s="1782"/>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c r="AL21" s="1782"/>
      <c r="AM21" s="897"/>
      <c r="AN21" s="897"/>
      <c r="AO21" s="897"/>
      <c r="AP21" s="897"/>
      <c r="AQ21" s="897"/>
      <c r="AR21" s="897"/>
      <c r="AS21" s="897"/>
      <c r="AT21" s="897"/>
      <c r="AU21" s="897"/>
      <c r="AV21" s="897"/>
      <c r="AW21" s="897"/>
      <c r="AX21" s="897"/>
      <c r="AY21" s="897"/>
      <c r="BD21" s="1181" t="s">
        <v>2449</v>
      </c>
      <c r="BE21" s="1183">
        <f>Application!AM562</f>
        <v>30800000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117426075</v>
      </c>
      <c r="BF22" s="3" t="s">
        <v>2520</v>
      </c>
    </row>
    <row r="23" spans="1:58" ht="12.95" customHeight="1">
      <c r="A23" s="1759" t="s">
        <v>2098</v>
      </c>
      <c r="B23" s="1759"/>
      <c r="C23" s="1759"/>
      <c r="D23" s="1759"/>
      <c r="E23" s="1759"/>
      <c r="F23" s="1759"/>
      <c r="G23" s="1759"/>
      <c r="H23" s="1759"/>
      <c r="I23" s="1759"/>
      <c r="J23" s="1759"/>
      <c r="K23" s="1759"/>
      <c r="L23" s="1759"/>
      <c r="M23" s="1759"/>
      <c r="N23" s="1759"/>
      <c r="O23" s="1759"/>
      <c r="P23" s="1759"/>
      <c r="Q23" s="1759"/>
      <c r="R23" s="1759"/>
      <c r="S23" s="1759"/>
      <c r="T23" s="1759"/>
      <c r="U23" s="1759"/>
      <c r="V23" s="1759"/>
      <c r="W23" s="1759"/>
      <c r="X23" s="1759"/>
      <c r="Y23" s="1759"/>
      <c r="Z23" s="1759"/>
      <c r="AA23" s="1759"/>
      <c r="AB23" s="1759"/>
      <c r="AC23" s="1759"/>
      <c r="AD23" s="1759"/>
      <c r="AE23" s="1759"/>
      <c r="AF23" s="1759"/>
      <c r="AG23" s="1759"/>
      <c r="AH23" s="1759"/>
      <c r="AI23" s="1759"/>
      <c r="AJ23" s="1759"/>
      <c r="AK23" s="1759"/>
      <c r="AL23" s="1759"/>
      <c r="AM23" s="1759"/>
      <c r="AN23" s="1759"/>
      <c r="AO23" s="1759"/>
      <c r="AP23" s="1759"/>
      <c r="AQ23" s="1759"/>
      <c r="AR23" s="1759"/>
      <c r="AS23" s="1759"/>
      <c r="AT23" s="1759"/>
      <c r="AU23" s="18"/>
      <c r="AV23" s="18"/>
      <c r="AW23" s="18"/>
      <c r="AX23" s="18"/>
      <c r="AY23" s="18"/>
      <c r="AZ23" s="18"/>
      <c r="BD23" s="1181" t="s">
        <v>2450</v>
      </c>
      <c r="BE23" s="1183">
        <f>'Sources and Uses Budget'!B4</f>
        <v>6700000</v>
      </c>
    </row>
    <row r="24" spans="1:58" ht="12.95" customHeight="1">
      <c r="A24" s="1759"/>
      <c r="B24" s="1759"/>
      <c r="C24" s="1759"/>
      <c r="D24" s="1759"/>
      <c r="E24" s="1759"/>
      <c r="F24" s="1759"/>
      <c r="G24" s="1759"/>
      <c r="H24" s="1759"/>
      <c r="I24" s="1759"/>
      <c r="J24" s="1759"/>
      <c r="K24" s="1759"/>
      <c r="L24" s="1759"/>
      <c r="M24" s="1759"/>
      <c r="N24" s="1759"/>
      <c r="O24" s="1759"/>
      <c r="P24" s="1759"/>
      <c r="Q24" s="1759"/>
      <c r="R24" s="1759"/>
      <c r="S24" s="1759"/>
      <c r="T24" s="1759"/>
      <c r="U24" s="1759"/>
      <c r="V24" s="1759"/>
      <c r="W24" s="1759"/>
      <c r="X24" s="1759"/>
      <c r="Y24" s="1759"/>
      <c r="Z24" s="1759"/>
      <c r="AA24" s="1759"/>
      <c r="AB24" s="1759"/>
      <c r="AC24" s="1759"/>
      <c r="AD24" s="1759"/>
      <c r="AE24" s="1759"/>
      <c r="AF24" s="1759"/>
      <c r="AG24" s="1759"/>
      <c r="AH24" s="1759"/>
      <c r="AI24" s="1759"/>
      <c r="AJ24" s="1759"/>
      <c r="AK24" s="1759"/>
      <c r="AL24" s="1759"/>
      <c r="AM24" s="1759"/>
      <c r="AN24" s="1759"/>
      <c r="AO24" s="1759"/>
      <c r="AP24" s="1759"/>
      <c r="AQ24" s="1759"/>
      <c r="AR24" s="1759"/>
      <c r="AS24" s="1759"/>
      <c r="AT24" s="1759"/>
      <c r="AU24" s="18"/>
      <c r="AV24" s="18"/>
      <c r="AW24" s="18"/>
      <c r="AX24" s="18"/>
      <c r="AY24" s="18"/>
      <c r="AZ24" s="18"/>
      <c r="BD24" s="1182" t="s">
        <v>2451</v>
      </c>
      <c r="BE24" s="1183">
        <f>Application!AG459</f>
        <v>271478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2452</v>
      </c>
      <c r="BE25" s="1183" t="str">
        <f>Application!D208</f>
        <v>40%/60% Average Income</v>
      </c>
    </row>
    <row r="26" spans="1:58" ht="12.95" customHeight="1">
      <c r="A26" s="4"/>
      <c r="C26" s="4"/>
      <c r="D26" s="4"/>
      <c r="E26" s="4"/>
      <c r="F26" s="4"/>
      <c r="G26" s="4"/>
      <c r="H26" s="4"/>
      <c r="I26" s="4"/>
      <c r="J26" s="4"/>
      <c r="K26" s="4"/>
      <c r="L26" s="4"/>
      <c r="M26" s="1761">
        <f>'Basis &amp; Credits'!AB56</f>
        <v>5428757</v>
      </c>
      <c r="N26" s="1761"/>
      <c r="O26" s="1761"/>
      <c r="P26" s="1761"/>
      <c r="Q26" s="1761"/>
      <c r="R26" s="4" t="s">
        <v>757</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330">
        <f>'Basis &amp; Credits'!AB78</f>
        <v>13000000</v>
      </c>
      <c r="N27" s="1330"/>
      <c r="O27" s="1330"/>
      <c r="P27" s="1330"/>
      <c r="Q27" s="1330"/>
      <c r="R27" s="3" t="s">
        <v>1265</v>
      </c>
      <c r="S27" s="4"/>
      <c r="T27" s="4"/>
      <c r="U27" s="4"/>
      <c r="V27" s="4"/>
      <c r="W27" s="4"/>
      <c r="X27" s="4"/>
      <c r="Y27" s="4"/>
      <c r="Z27" s="4"/>
      <c r="AF27" s="4"/>
      <c r="AG27" s="4"/>
      <c r="AH27" s="4"/>
      <c r="AI27" s="4"/>
      <c r="AJ27" s="4"/>
      <c r="AK27" s="4"/>
      <c r="BD27" s="1181" t="s">
        <v>2051</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2453</v>
      </c>
      <c r="BE28" s="1183" t="b">
        <f>Application!M366="Yes"</f>
        <v>0</v>
      </c>
    </row>
    <row r="29" spans="1:58" ht="12.95" customHeight="1">
      <c r="A29" s="1457" t="s">
        <v>2099</v>
      </c>
      <c r="B29" s="1457"/>
      <c r="C29" s="1457"/>
      <c r="D29" s="1457"/>
      <c r="E29" s="1457"/>
      <c r="F29" s="1457"/>
      <c r="G29" s="1457"/>
      <c r="H29" s="1457"/>
      <c r="I29" s="1457"/>
      <c r="J29" s="1457"/>
      <c r="K29" s="1457"/>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c r="AL29" s="1457"/>
      <c r="AM29" s="1457"/>
      <c r="AN29" s="1457"/>
      <c r="AO29" s="1457"/>
      <c r="AP29" s="1457"/>
      <c r="AQ29" s="1457"/>
      <c r="AR29" s="1457"/>
      <c r="AS29" s="1457"/>
      <c r="AT29" s="1457"/>
      <c r="BD29" s="1181" t="s">
        <v>2454</v>
      </c>
      <c r="BE29" s="1183" t="b">
        <f>Application!M367="Yes"</f>
        <v>0</v>
      </c>
    </row>
    <row r="30" spans="1:58" ht="12.95" customHeight="1">
      <c r="A30" s="1457"/>
      <c r="B30" s="1457"/>
      <c r="C30" s="1457"/>
      <c r="D30" s="1457"/>
      <c r="E30" s="1457"/>
      <c r="F30" s="1457"/>
      <c r="G30" s="1457"/>
      <c r="H30" s="1457"/>
      <c r="I30" s="1457"/>
      <c r="J30" s="1457"/>
      <c r="K30" s="1457"/>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1457"/>
      <c r="AH30" s="1457"/>
      <c r="AI30" s="1457"/>
      <c r="AJ30" s="1457"/>
      <c r="AK30" s="1457"/>
      <c r="AL30" s="1457"/>
      <c r="AM30" s="1457"/>
      <c r="AN30" s="1457"/>
      <c r="AO30" s="1457"/>
      <c r="AP30" s="1457"/>
      <c r="AQ30" s="1457"/>
      <c r="AR30" s="1457"/>
      <c r="AS30" s="1457"/>
      <c r="AT30" s="1457"/>
      <c r="AZ30" s="20"/>
      <c r="BD30" s="1182" t="s">
        <v>28</v>
      </c>
      <c r="BE30" s="1183" t="b">
        <f>Application!AJ364="Yes"</f>
        <v>0</v>
      </c>
    </row>
    <row r="31" spans="1:58" ht="12.95" customHeight="1">
      <c r="A31" s="1457"/>
      <c r="B31" s="1457"/>
      <c r="C31" s="1457"/>
      <c r="D31" s="1457"/>
      <c r="E31" s="1457"/>
      <c r="F31" s="1457"/>
      <c r="G31" s="1457"/>
      <c r="H31" s="1457"/>
      <c r="I31" s="1457"/>
      <c r="J31" s="1457"/>
      <c r="K31" s="1457"/>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1457"/>
      <c r="AH31" s="1457"/>
      <c r="AI31" s="1457"/>
      <c r="AJ31" s="1457"/>
      <c r="AK31" s="1457"/>
      <c r="AL31" s="1457"/>
      <c r="AM31" s="1457"/>
      <c r="AN31" s="1457"/>
      <c r="AO31" s="1457"/>
      <c r="AP31" s="1457"/>
      <c r="AQ31" s="1457"/>
      <c r="AR31" s="1457"/>
      <c r="AS31" s="1457"/>
      <c r="AT31" s="1457"/>
      <c r="AU31" s="20"/>
      <c r="AV31" s="20"/>
      <c r="AW31" s="20"/>
      <c r="AX31" s="20"/>
      <c r="AY31" s="20"/>
      <c r="AZ31" s="20"/>
      <c r="BD31" s="1181" t="s">
        <v>2455</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2456</v>
      </c>
      <c r="BE32" s="1183">
        <f>IF(ISNUMBER(Application!W473),W473,0)</f>
        <v>0</v>
      </c>
    </row>
    <row r="33" spans="1:57" ht="12.95" hidden="1" customHeight="1">
      <c r="A33" s="519" t="s">
        <v>1276</v>
      </c>
      <c r="C33" s="519"/>
      <c r="D33" s="519"/>
      <c r="E33" s="519"/>
      <c r="F33" s="519"/>
      <c r="G33" s="519"/>
      <c r="H33" s="519"/>
      <c r="I33" s="519"/>
      <c r="J33" s="519"/>
      <c r="K33" s="519"/>
      <c r="L33" s="519"/>
      <c r="M33" s="519"/>
      <c r="N33" s="519"/>
      <c r="O33" s="1306" t="s">
        <v>667</v>
      </c>
      <c r="P33" s="1306"/>
      <c r="Q33" s="1760" t="s">
        <v>2100</v>
      </c>
      <c r="R33" s="1760"/>
      <c r="S33" s="1760"/>
      <c r="T33" s="1760"/>
      <c r="U33" s="1760"/>
      <c r="V33" s="1760"/>
      <c r="W33" s="1760"/>
      <c r="X33" s="1760"/>
      <c r="Y33" s="1760"/>
      <c r="Z33" s="1760"/>
      <c r="AA33" s="1760"/>
      <c r="AB33" s="1760"/>
      <c r="AC33" s="1760"/>
      <c r="AD33" s="1760"/>
      <c r="AE33" s="1760"/>
      <c r="AF33" s="1760"/>
      <c r="AG33" s="1760"/>
      <c r="AH33" s="1760"/>
      <c r="AI33" s="1760"/>
      <c r="AJ33" s="1760"/>
      <c r="AK33" s="1760"/>
      <c r="AL33" s="1760"/>
      <c r="AM33" s="1760"/>
      <c r="AN33" s="1760"/>
      <c r="AO33" s="1760"/>
      <c r="AP33" s="1760"/>
      <c r="AQ33" s="1760"/>
      <c r="AR33" s="1760"/>
      <c r="AS33" s="1760"/>
      <c r="AT33" s="1760"/>
      <c r="AU33" s="20"/>
      <c r="AV33" s="20"/>
      <c r="AW33" s="20"/>
      <c r="AX33" s="20"/>
      <c r="AY33" s="20"/>
      <c r="BD33" s="1181" t="s">
        <v>2521</v>
      </c>
      <c r="BE33" s="1183" t="str">
        <f>Application!D220</f>
        <v>Inland Empire Region: San Bernardino, Riverside, and Imperial Counties</v>
      </c>
    </row>
    <row r="34" spans="1:57" ht="12.95" hidden="1" customHeight="1">
      <c r="A34" s="1457" t="s">
        <v>2101</v>
      </c>
      <c r="B34" s="1457"/>
      <c r="C34" s="1457"/>
      <c r="D34" s="1457"/>
      <c r="E34" s="1457"/>
      <c r="F34" s="1457"/>
      <c r="G34" s="1457"/>
      <c r="H34" s="1457"/>
      <c r="I34" s="1457"/>
      <c r="J34" s="1457"/>
      <c r="K34" s="1457"/>
      <c r="L34" s="1457"/>
      <c r="M34" s="1457"/>
      <c r="N34" s="1457"/>
      <c r="O34" s="1457"/>
      <c r="P34" s="1457"/>
      <c r="Q34" s="1457"/>
      <c r="R34" s="1457"/>
      <c r="S34" s="1457"/>
      <c r="T34" s="1457"/>
      <c r="U34" s="1457"/>
      <c r="V34" s="1457"/>
      <c r="W34" s="1457"/>
      <c r="X34" s="1457"/>
      <c r="Y34" s="1457"/>
      <c r="Z34" s="1457"/>
      <c r="AA34" s="1457"/>
      <c r="AB34" s="1457"/>
      <c r="AC34" s="1457"/>
      <c r="AD34" s="1457"/>
      <c r="AE34" s="1457"/>
      <c r="AF34" s="1457"/>
      <c r="AG34" s="1457"/>
      <c r="AH34" s="1457"/>
      <c r="AI34" s="1457"/>
      <c r="AJ34" s="1457"/>
      <c r="AK34" s="1457"/>
      <c r="AL34" s="1457"/>
      <c r="AM34" s="1457"/>
      <c r="AN34" s="1457"/>
      <c r="AO34" s="1457"/>
      <c r="AP34" s="1457"/>
      <c r="AQ34" s="1457"/>
      <c r="AR34" s="1457"/>
      <c r="AS34" s="1457"/>
      <c r="AT34" s="1457"/>
      <c r="AU34" s="20"/>
      <c r="AV34" s="20"/>
      <c r="AW34" s="20"/>
      <c r="AX34" s="20"/>
      <c r="AY34" s="20"/>
      <c r="AZ34" s="20"/>
      <c r="BD34" s="1182" t="s">
        <v>2457</v>
      </c>
      <c r="BE34" s="1183" t="str">
        <f>Application!I185</f>
        <v>Avenue 42 &amp; Country Club Dr</v>
      </c>
    </row>
    <row r="35" spans="1:57" ht="12.95" hidden="1" customHeight="1">
      <c r="A35" s="1457"/>
      <c r="B35" s="1457"/>
      <c r="C35" s="1457"/>
      <c r="D35" s="1457"/>
      <c r="E35" s="1457"/>
      <c r="F35" s="1457"/>
      <c r="G35" s="1457"/>
      <c r="H35" s="1457"/>
      <c r="I35" s="1457"/>
      <c r="J35" s="1457"/>
      <c r="K35" s="1457"/>
      <c r="L35" s="1457"/>
      <c r="M35" s="1457"/>
      <c r="N35" s="1457"/>
      <c r="O35" s="1457"/>
      <c r="P35" s="1457"/>
      <c r="Q35" s="1457"/>
      <c r="R35" s="1457"/>
      <c r="S35" s="1457"/>
      <c r="T35" s="1457"/>
      <c r="U35" s="1457"/>
      <c r="V35" s="1457"/>
      <c r="W35" s="1457"/>
      <c r="X35" s="1457"/>
      <c r="Y35" s="1457"/>
      <c r="Z35" s="1457"/>
      <c r="AA35" s="1457"/>
      <c r="AB35" s="1457"/>
      <c r="AC35" s="1457"/>
      <c r="AD35" s="1457"/>
      <c r="AE35" s="1457"/>
      <c r="AF35" s="1457"/>
      <c r="AG35" s="1457"/>
      <c r="AH35" s="1457"/>
      <c r="AI35" s="1457"/>
      <c r="AJ35" s="1457"/>
      <c r="AK35" s="1457"/>
      <c r="AL35" s="1457"/>
      <c r="AM35" s="1457"/>
      <c r="AN35" s="1457"/>
      <c r="AO35" s="1457"/>
      <c r="AP35" s="1457"/>
      <c r="AQ35" s="1457"/>
      <c r="AR35" s="1457"/>
      <c r="AS35" s="1457"/>
      <c r="AT35" s="1457"/>
      <c r="AU35" s="20"/>
      <c r="AV35" s="20"/>
      <c r="AW35" s="20"/>
      <c r="AX35" s="20"/>
      <c r="AY35" s="20"/>
      <c r="AZ35" s="20"/>
      <c r="BD35" s="1181" t="s">
        <v>2458</v>
      </c>
      <c r="BE35" s="1183" t="str">
        <f>IF(Application!E187="","",Application!E187)</f>
        <v>SW corner of Country Club Dr and Avenue 42</v>
      </c>
    </row>
    <row r="36" spans="1:57" ht="12.95" hidden="1" customHeight="1">
      <c r="A36" s="1457"/>
      <c r="B36" s="1457"/>
      <c r="C36" s="1457"/>
      <c r="D36" s="1457"/>
      <c r="E36" s="1457"/>
      <c r="F36" s="1457"/>
      <c r="G36" s="1457"/>
      <c r="H36" s="1457"/>
      <c r="I36" s="1457"/>
      <c r="J36" s="1457"/>
      <c r="K36" s="1457"/>
      <c r="L36" s="1457"/>
      <c r="M36" s="1457"/>
      <c r="N36" s="1457"/>
      <c r="O36" s="1457"/>
      <c r="P36" s="1457"/>
      <c r="Q36" s="1457"/>
      <c r="R36" s="1457"/>
      <c r="S36" s="1457"/>
      <c r="T36" s="1457"/>
      <c r="U36" s="1457"/>
      <c r="V36" s="1457"/>
      <c r="W36" s="1457"/>
      <c r="X36" s="1457"/>
      <c r="Y36" s="1457"/>
      <c r="Z36" s="1457"/>
      <c r="AA36" s="1457"/>
      <c r="AB36" s="1457"/>
      <c r="AC36" s="1457"/>
      <c r="AD36" s="1457"/>
      <c r="AE36" s="1457"/>
      <c r="AF36" s="1457"/>
      <c r="AG36" s="1457"/>
      <c r="AH36" s="1457"/>
      <c r="AI36" s="1457"/>
      <c r="AJ36" s="1457"/>
      <c r="AK36" s="1457"/>
      <c r="AL36" s="1457"/>
      <c r="AM36" s="1457"/>
      <c r="AN36" s="1457"/>
      <c r="AO36" s="1457"/>
      <c r="AP36" s="1457"/>
      <c r="AQ36" s="1457"/>
      <c r="AR36" s="1457"/>
      <c r="AS36" s="1457"/>
      <c r="AT36" s="1457"/>
      <c r="AU36" s="20"/>
      <c r="AV36" s="20"/>
      <c r="AW36" s="20"/>
      <c r="AX36" s="20"/>
      <c r="AY36" s="20"/>
      <c r="AZ36" s="20"/>
      <c r="BD36" s="1182" t="s">
        <v>2459</v>
      </c>
      <c r="BE36" s="1183" t="str">
        <f>Application!I189</f>
        <v>Indio</v>
      </c>
    </row>
    <row r="37" spans="1:57" ht="12.95" hidden="1" customHeight="1">
      <c r="A37" s="1457"/>
      <c r="B37" s="1457"/>
      <c r="C37" s="1457"/>
      <c r="D37" s="1457"/>
      <c r="E37" s="1457"/>
      <c r="F37" s="1457"/>
      <c r="G37" s="1457"/>
      <c r="H37" s="1457"/>
      <c r="I37" s="1457"/>
      <c r="J37" s="1457"/>
      <c r="K37" s="1457"/>
      <c r="L37" s="1457"/>
      <c r="M37" s="1457"/>
      <c r="N37" s="1457"/>
      <c r="O37" s="1457"/>
      <c r="P37" s="1457"/>
      <c r="Q37" s="1457"/>
      <c r="R37" s="1457"/>
      <c r="S37" s="1457"/>
      <c r="T37" s="1457"/>
      <c r="U37" s="1457"/>
      <c r="V37" s="1457"/>
      <c r="W37" s="1457"/>
      <c r="X37" s="1457"/>
      <c r="Y37" s="1457"/>
      <c r="Z37" s="1457"/>
      <c r="AA37" s="1457"/>
      <c r="AB37" s="1457"/>
      <c r="AC37" s="1457"/>
      <c r="AD37" s="1457"/>
      <c r="AE37" s="1457"/>
      <c r="AF37" s="1457"/>
      <c r="AG37" s="1457"/>
      <c r="AH37" s="1457"/>
      <c r="AI37" s="1457"/>
      <c r="AJ37" s="1457"/>
      <c r="AK37" s="1457"/>
      <c r="AL37" s="1457"/>
      <c r="AM37" s="1457"/>
      <c r="AN37" s="1457"/>
      <c r="AO37" s="1457"/>
      <c r="AP37" s="1457"/>
      <c r="AQ37" s="1457"/>
      <c r="AR37" s="1457"/>
      <c r="AS37" s="1457"/>
      <c r="AT37" s="1457"/>
      <c r="AZ37" s="20"/>
      <c r="BD37" s="1181" t="s">
        <v>2460</v>
      </c>
      <c r="BE37" s="1183" t="str">
        <f>Application!T189</f>
        <v>Riverside</v>
      </c>
    </row>
    <row r="38" spans="1:57" ht="12.95" hidden="1" customHeight="1">
      <c r="A38" s="3"/>
      <c r="AZ38" s="20"/>
      <c r="BD38" s="1182" t="s">
        <v>2461</v>
      </c>
      <c r="BE38" s="1183">
        <f>Application!I190</f>
        <v>92203</v>
      </c>
    </row>
    <row r="39" spans="1:57" ht="12.95" customHeight="1">
      <c r="A39" s="1478" t="s">
        <v>2102</v>
      </c>
      <c r="B39" s="1478"/>
      <c r="C39" s="1478"/>
      <c r="D39" s="1478"/>
      <c r="E39" s="1478"/>
      <c r="F39" s="1478"/>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8"/>
      <c r="AM39" s="1478"/>
      <c r="AN39" s="1478"/>
      <c r="AO39" s="1478"/>
      <c r="AP39" s="1478"/>
      <c r="AQ39" s="1478"/>
      <c r="AR39" s="1478"/>
      <c r="AS39" s="1478"/>
      <c r="AT39" s="1478"/>
      <c r="AZ39" s="20"/>
      <c r="BD39" s="1181" t="s">
        <v>2462</v>
      </c>
      <c r="BE39" s="1183">
        <f>Application!AG446</f>
        <v>240</v>
      </c>
    </row>
    <row r="40" spans="1:57" ht="12.95" customHeight="1">
      <c r="A40" s="1478"/>
      <c r="B40" s="1478"/>
      <c r="C40" s="1478"/>
      <c r="D40" s="1478"/>
      <c r="E40" s="1478"/>
      <c r="F40" s="1478"/>
      <c r="G40" s="1478"/>
      <c r="H40" s="1478"/>
      <c r="I40" s="1478"/>
      <c r="J40" s="1478"/>
      <c r="K40" s="1478"/>
      <c r="L40" s="1478"/>
      <c r="M40" s="1478"/>
      <c r="N40" s="1478"/>
      <c r="O40" s="1478"/>
      <c r="P40" s="1478"/>
      <c r="Q40" s="1478"/>
      <c r="R40" s="1478"/>
      <c r="S40" s="1478"/>
      <c r="T40" s="1478"/>
      <c r="U40" s="1478"/>
      <c r="V40" s="1478"/>
      <c r="W40" s="1478"/>
      <c r="X40" s="1478"/>
      <c r="Y40" s="1478"/>
      <c r="Z40" s="1478"/>
      <c r="AA40" s="1478"/>
      <c r="AB40" s="1478"/>
      <c r="AC40" s="1478"/>
      <c r="AD40" s="1478"/>
      <c r="AE40" s="1478"/>
      <c r="AF40" s="1478"/>
      <c r="AG40" s="1478"/>
      <c r="AH40" s="1478"/>
      <c r="AI40" s="1478"/>
      <c r="AJ40" s="1478"/>
      <c r="AK40" s="1478"/>
      <c r="AL40" s="1478"/>
      <c r="AM40" s="1478"/>
      <c r="AN40" s="1478"/>
      <c r="AO40" s="1478"/>
      <c r="AP40" s="1478"/>
      <c r="AQ40" s="1478"/>
      <c r="AR40" s="1478"/>
      <c r="AS40" s="1478"/>
      <c r="AT40" s="1478"/>
      <c r="AU40" s="20"/>
      <c r="AV40" s="20"/>
      <c r="AW40" s="20"/>
      <c r="AX40" s="20"/>
      <c r="AY40" s="20"/>
      <c r="AZ40" s="20"/>
      <c r="BD40" s="1182" t="s">
        <v>382</v>
      </c>
      <c r="BE40" s="1183">
        <f>Application!AG449</f>
        <v>237</v>
      </c>
    </row>
    <row r="41" spans="1:57" ht="12.95" customHeight="1">
      <c r="A41" s="1478"/>
      <c r="B41" s="1478"/>
      <c r="C41" s="1478"/>
      <c r="D41" s="1478"/>
      <c r="E41" s="1478"/>
      <c r="F41" s="1478"/>
      <c r="G41" s="1478"/>
      <c r="H41" s="1478"/>
      <c r="I41" s="1478"/>
      <c r="J41" s="1478"/>
      <c r="K41" s="1478"/>
      <c r="L41" s="1478"/>
      <c r="M41" s="1478"/>
      <c r="N41" s="1478"/>
      <c r="O41" s="1478"/>
      <c r="P41" s="1478"/>
      <c r="Q41" s="1478"/>
      <c r="R41" s="1478"/>
      <c r="S41" s="1478"/>
      <c r="T41" s="1478"/>
      <c r="U41" s="1478"/>
      <c r="V41" s="1478"/>
      <c r="W41" s="1478"/>
      <c r="X41" s="1478"/>
      <c r="Y41" s="1478"/>
      <c r="Z41" s="1478"/>
      <c r="AA41" s="1478"/>
      <c r="AB41" s="1478"/>
      <c r="AC41" s="1478"/>
      <c r="AD41" s="1478"/>
      <c r="AE41" s="1478"/>
      <c r="AF41" s="1478"/>
      <c r="AG41" s="1478"/>
      <c r="AH41" s="1478"/>
      <c r="AI41" s="1478"/>
      <c r="AJ41" s="1478"/>
      <c r="AK41" s="1478"/>
      <c r="AL41" s="1478"/>
      <c r="AM41" s="1478"/>
      <c r="AN41" s="1478"/>
      <c r="AO41" s="1478"/>
      <c r="AP41" s="1478"/>
      <c r="AQ41" s="1478"/>
      <c r="AR41" s="1478"/>
      <c r="AS41" s="1478"/>
      <c r="AT41" s="1478"/>
      <c r="AU41" s="20"/>
      <c r="AV41" s="20"/>
      <c r="AW41" s="20"/>
      <c r="AX41" s="20"/>
      <c r="AY41" s="20"/>
      <c r="AZ41" s="20"/>
      <c r="BD41" s="1181" t="s">
        <v>286</v>
      </c>
      <c r="BE41" s="1183">
        <f>Application!AG447</f>
        <v>0</v>
      </c>
    </row>
    <row r="42" spans="1:57" ht="12.95" customHeight="1">
      <c r="A42" s="1478"/>
      <c r="B42" s="1478"/>
      <c r="C42" s="1478"/>
      <c r="D42" s="1478"/>
      <c r="E42" s="1478"/>
      <c r="F42" s="1478"/>
      <c r="G42" s="1478"/>
      <c r="H42" s="1478"/>
      <c r="I42" s="1478"/>
      <c r="J42" s="1478"/>
      <c r="K42" s="1478"/>
      <c r="L42" s="1478"/>
      <c r="M42" s="1478"/>
      <c r="N42" s="1478"/>
      <c r="O42" s="1478"/>
      <c r="P42" s="1478"/>
      <c r="Q42" s="1478"/>
      <c r="R42" s="1478"/>
      <c r="S42" s="1478"/>
      <c r="T42" s="1478"/>
      <c r="U42" s="1478"/>
      <c r="V42" s="1478"/>
      <c r="W42" s="1478"/>
      <c r="X42" s="1478"/>
      <c r="Y42" s="1478"/>
      <c r="Z42" s="1478"/>
      <c r="AA42" s="1478"/>
      <c r="AB42" s="1478"/>
      <c r="AC42" s="1478"/>
      <c r="AD42" s="1478"/>
      <c r="AE42" s="1478"/>
      <c r="AF42" s="1478"/>
      <c r="AG42" s="1478"/>
      <c r="AH42" s="1478"/>
      <c r="AI42" s="1478"/>
      <c r="AJ42" s="1478"/>
      <c r="AK42" s="1478"/>
      <c r="AL42" s="1478"/>
      <c r="AM42" s="1478"/>
      <c r="AN42" s="1478"/>
      <c r="AO42" s="1478"/>
      <c r="AP42" s="1478"/>
      <c r="AQ42" s="1478"/>
      <c r="AR42" s="1478"/>
      <c r="AS42" s="1478"/>
      <c r="AT42" s="1478"/>
      <c r="AZ42" s="20"/>
      <c r="BD42" s="1182" t="s">
        <v>2463</v>
      </c>
      <c r="BE42" s="1185">
        <f>Application!AC761</f>
        <v>0.57468354430379742</v>
      </c>
    </row>
    <row r="43" spans="1:57" ht="12.95" customHeight="1">
      <c r="A43" s="1478"/>
      <c r="B43" s="1478"/>
      <c r="C43" s="1478"/>
      <c r="D43" s="1478"/>
      <c r="E43" s="1478"/>
      <c r="F43" s="1478"/>
      <c r="G43" s="1478"/>
      <c r="H43" s="1478"/>
      <c r="I43" s="1478"/>
      <c r="J43" s="1478"/>
      <c r="K43" s="1478"/>
      <c r="L43" s="1478"/>
      <c r="M43" s="1478"/>
      <c r="N43" s="1478"/>
      <c r="O43" s="1478"/>
      <c r="P43" s="1478"/>
      <c r="Q43" s="1478"/>
      <c r="R43" s="1478"/>
      <c r="S43" s="1478"/>
      <c r="T43" s="1478"/>
      <c r="U43" s="1478"/>
      <c r="V43" s="1478"/>
      <c r="W43" s="1478"/>
      <c r="X43" s="1478"/>
      <c r="Y43" s="1478"/>
      <c r="Z43" s="1478"/>
      <c r="AA43" s="1478"/>
      <c r="AB43" s="1478"/>
      <c r="AC43" s="1478"/>
      <c r="AD43" s="1478"/>
      <c r="AE43" s="1478"/>
      <c r="AF43" s="1478"/>
      <c r="AG43" s="1478"/>
      <c r="AH43" s="1478"/>
      <c r="AI43" s="1478"/>
      <c r="AJ43" s="1478"/>
      <c r="AK43" s="1478"/>
      <c r="AL43" s="1478"/>
      <c r="AM43" s="1478"/>
      <c r="AN43" s="1478"/>
      <c r="AO43" s="1478"/>
      <c r="AP43" s="1478"/>
      <c r="AQ43" s="1478"/>
      <c r="AR43" s="1478"/>
      <c r="AS43" s="1478"/>
      <c r="AT43" s="1478"/>
      <c r="AU43" s="20"/>
      <c r="AV43" s="20"/>
      <c r="AW43" s="20"/>
      <c r="AX43" s="20"/>
      <c r="AY43" s="20"/>
      <c r="AZ43" s="20"/>
      <c r="BD43" s="1181" t="s">
        <v>2464</v>
      </c>
      <c r="BE43" s="1185">
        <f>Application!AH761</f>
        <v>0.57474426944413048</v>
      </c>
    </row>
    <row r="44" spans="1:57" ht="12.95" customHeight="1">
      <c r="A44" s="1478"/>
      <c r="B44" s="1478"/>
      <c r="C44" s="1478"/>
      <c r="D44" s="1478"/>
      <c r="E44" s="1478"/>
      <c r="F44" s="1478"/>
      <c r="G44" s="1478"/>
      <c r="H44" s="1478"/>
      <c r="I44" s="1478"/>
      <c r="J44" s="1478"/>
      <c r="K44" s="1478"/>
      <c r="L44" s="1478"/>
      <c r="M44" s="1478"/>
      <c r="N44" s="1478"/>
      <c r="O44" s="1478"/>
      <c r="P44" s="1478"/>
      <c r="Q44" s="1478"/>
      <c r="R44" s="1478"/>
      <c r="S44" s="1478"/>
      <c r="T44" s="1478"/>
      <c r="U44" s="1478"/>
      <c r="V44" s="1478"/>
      <c r="W44" s="1478"/>
      <c r="X44" s="1478"/>
      <c r="Y44" s="1478"/>
      <c r="Z44" s="1478"/>
      <c r="AA44" s="1478"/>
      <c r="AB44" s="1478"/>
      <c r="AC44" s="1478"/>
      <c r="AD44" s="1478"/>
      <c r="AE44" s="1478"/>
      <c r="AF44" s="1478"/>
      <c r="AG44" s="1478"/>
      <c r="AH44" s="1478"/>
      <c r="AI44" s="1478"/>
      <c r="AJ44" s="1478"/>
      <c r="AK44" s="1478"/>
      <c r="AL44" s="1478"/>
      <c r="AM44" s="1478"/>
      <c r="AN44" s="1478"/>
      <c r="AO44" s="1478"/>
      <c r="AP44" s="1478"/>
      <c r="AQ44" s="1478"/>
      <c r="AR44" s="1478"/>
      <c r="AS44" s="1478"/>
      <c r="AT44" s="1478"/>
      <c r="AU44" s="20"/>
      <c r="AV44" s="20"/>
      <c r="AW44" s="20"/>
      <c r="AX44" s="20"/>
      <c r="AY44" s="20"/>
      <c r="AZ44" s="20"/>
      <c r="BD44" s="1182" t="s">
        <v>2465</v>
      </c>
      <c r="BE44" s="1183">
        <f>Application!AC463</f>
        <v>489275.3125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2466</v>
      </c>
      <c r="BE45" s="1183">
        <f>Application!AE433</f>
        <v>8</v>
      </c>
    </row>
    <row r="46" spans="1:57" ht="12.95" customHeight="1">
      <c r="A46" s="1759" t="s">
        <v>2103</v>
      </c>
      <c r="B46" s="1759"/>
      <c r="C46" s="1759"/>
      <c r="D46" s="1759"/>
      <c r="E46" s="1759"/>
      <c r="F46" s="1759"/>
      <c r="G46" s="1759"/>
      <c r="H46" s="1759"/>
      <c r="I46" s="1759"/>
      <c r="J46" s="1759"/>
      <c r="K46" s="1759"/>
      <c r="L46" s="1759"/>
      <c r="M46" s="1759"/>
      <c r="N46" s="1759"/>
      <c r="O46" s="1759"/>
      <c r="P46" s="1759"/>
      <c r="Q46" s="1759"/>
      <c r="R46" s="1759"/>
      <c r="S46" s="1759"/>
      <c r="T46" s="1759"/>
      <c r="U46" s="1759"/>
      <c r="V46" s="1759"/>
      <c r="W46" s="1759"/>
      <c r="X46" s="1759"/>
      <c r="Y46" s="1759"/>
      <c r="Z46" s="1759"/>
      <c r="AA46" s="1759"/>
      <c r="AB46" s="1759"/>
      <c r="AC46" s="1759"/>
      <c r="AD46" s="1759"/>
      <c r="AE46" s="1759"/>
      <c r="AF46" s="1759"/>
      <c r="AG46" s="1759"/>
      <c r="AH46" s="1759"/>
      <c r="AI46" s="1759"/>
      <c r="AJ46" s="1759"/>
      <c r="AK46" s="1759"/>
      <c r="AL46" s="1759"/>
      <c r="AM46" s="1759"/>
      <c r="AN46" s="1759"/>
      <c r="AO46" s="1759"/>
      <c r="AP46" s="1759"/>
      <c r="AQ46" s="1759"/>
      <c r="AR46" s="1759"/>
      <c r="AS46" s="1759"/>
      <c r="AT46" s="1759"/>
      <c r="AU46" s="20"/>
      <c r="AV46" s="20"/>
      <c r="AW46" s="20"/>
      <c r="AX46" s="20"/>
      <c r="AY46" s="20"/>
      <c r="AZ46" s="20"/>
      <c r="BD46" s="1182" t="s">
        <v>2467</v>
      </c>
      <c r="BE46" s="1183" t="b">
        <f>Application!T195="Yes"</f>
        <v>1</v>
      </c>
    </row>
    <row r="47" spans="1:57" ht="12.95" customHeight="1">
      <c r="A47" s="1759"/>
      <c r="B47" s="1759"/>
      <c r="C47" s="1759"/>
      <c r="D47" s="1759"/>
      <c r="E47" s="1759"/>
      <c r="F47" s="1759"/>
      <c r="G47" s="1759"/>
      <c r="H47" s="1759"/>
      <c r="I47" s="1759"/>
      <c r="J47" s="1759"/>
      <c r="K47" s="1759"/>
      <c r="L47" s="1759"/>
      <c r="M47" s="1759"/>
      <c r="N47" s="1759"/>
      <c r="O47" s="1759"/>
      <c r="P47" s="1759"/>
      <c r="Q47" s="1759"/>
      <c r="R47" s="1759"/>
      <c r="S47" s="1759"/>
      <c r="T47" s="1759"/>
      <c r="U47" s="1759"/>
      <c r="V47" s="1759"/>
      <c r="W47" s="1759"/>
      <c r="X47" s="1759"/>
      <c r="Y47" s="1759"/>
      <c r="Z47" s="1759"/>
      <c r="AA47" s="1759"/>
      <c r="AB47" s="1759"/>
      <c r="AC47" s="1759"/>
      <c r="AD47" s="1759"/>
      <c r="AE47" s="1759"/>
      <c r="AF47" s="1759"/>
      <c r="AG47" s="1759"/>
      <c r="AH47" s="1759"/>
      <c r="AI47" s="1759"/>
      <c r="AJ47" s="1759"/>
      <c r="AK47" s="1759"/>
      <c r="AL47" s="1759"/>
      <c r="AM47" s="1759"/>
      <c r="AN47" s="1759"/>
      <c r="AO47" s="1759"/>
      <c r="AP47" s="1759"/>
      <c r="AQ47" s="1759"/>
      <c r="AR47" s="1759"/>
      <c r="AS47" s="1759"/>
      <c r="AT47" s="1759"/>
      <c r="AU47" s="20"/>
      <c r="AV47" s="20"/>
      <c r="AW47" s="20"/>
      <c r="AX47" s="20"/>
      <c r="AY47" s="20"/>
      <c r="AZ47" s="20"/>
      <c r="BD47" s="1181" t="s">
        <v>2468</v>
      </c>
      <c r="BE47" s="1183" t="b">
        <f>Application!T196="Yes"</f>
        <v>0</v>
      </c>
    </row>
    <row r="48" spans="1:57" ht="12.95" customHeight="1">
      <c r="A48" s="1759"/>
      <c r="B48" s="1759"/>
      <c r="C48" s="1759"/>
      <c r="D48" s="1759"/>
      <c r="E48" s="1759"/>
      <c r="F48" s="1759"/>
      <c r="G48" s="1759"/>
      <c r="H48" s="1759"/>
      <c r="I48" s="1759"/>
      <c r="J48" s="1759"/>
      <c r="K48" s="1759"/>
      <c r="L48" s="1759"/>
      <c r="M48" s="1759"/>
      <c r="N48" s="1759"/>
      <c r="O48" s="1759"/>
      <c r="P48" s="1759"/>
      <c r="Q48" s="1759"/>
      <c r="R48" s="1759"/>
      <c r="S48" s="1759"/>
      <c r="T48" s="1759"/>
      <c r="U48" s="1759"/>
      <c r="V48" s="1759"/>
      <c r="W48" s="1759"/>
      <c r="X48" s="1759"/>
      <c r="Y48" s="1759"/>
      <c r="Z48" s="1759"/>
      <c r="AA48" s="1759"/>
      <c r="AB48" s="1759"/>
      <c r="AC48" s="1759"/>
      <c r="AD48" s="1759"/>
      <c r="AE48" s="1759"/>
      <c r="AF48" s="1759"/>
      <c r="AG48" s="1759"/>
      <c r="AH48" s="1759"/>
      <c r="AI48" s="1759"/>
      <c r="AJ48" s="1759"/>
      <c r="AK48" s="1759"/>
      <c r="AL48" s="1759"/>
      <c r="AM48" s="1759"/>
      <c r="AN48" s="1759"/>
      <c r="AO48" s="1759"/>
      <c r="AP48" s="1759"/>
      <c r="AQ48" s="1759"/>
      <c r="AR48" s="1759"/>
      <c r="AS48" s="1759"/>
      <c r="AT48" s="1759"/>
      <c r="AU48" s="20"/>
      <c r="AV48" s="20"/>
      <c r="AW48" s="20"/>
      <c r="AX48" s="20"/>
      <c r="AY48" s="20"/>
      <c r="AZ48" s="20"/>
      <c r="BD48" s="1182" t="s">
        <v>2469</v>
      </c>
      <c r="BE48" s="1183" t="str">
        <f>Application!M252</f>
        <v>Avenue 42 AGP LLC</v>
      </c>
    </row>
    <row r="49" spans="1:57" ht="12.95" customHeight="1">
      <c r="A49" s="1759"/>
      <c r="B49" s="1759"/>
      <c r="C49" s="1759"/>
      <c r="D49" s="1759"/>
      <c r="E49" s="1759"/>
      <c r="F49" s="1759"/>
      <c r="G49" s="1759"/>
      <c r="H49" s="1759"/>
      <c r="I49" s="1759"/>
      <c r="J49" s="1759"/>
      <c r="K49" s="1759"/>
      <c r="L49" s="1759"/>
      <c r="M49" s="1759"/>
      <c r="N49" s="1759"/>
      <c r="O49" s="1759"/>
      <c r="P49" s="1759"/>
      <c r="Q49" s="1759"/>
      <c r="R49" s="1759"/>
      <c r="S49" s="1759"/>
      <c r="T49" s="1759"/>
      <c r="U49" s="1759"/>
      <c r="V49" s="1759"/>
      <c r="W49" s="1759"/>
      <c r="X49" s="1759"/>
      <c r="Y49" s="1759"/>
      <c r="Z49" s="1759"/>
      <c r="AA49" s="1759"/>
      <c r="AB49" s="1759"/>
      <c r="AC49" s="1759"/>
      <c r="AD49" s="1759"/>
      <c r="AE49" s="1759"/>
      <c r="AF49" s="1759"/>
      <c r="AG49" s="1759"/>
      <c r="AH49" s="1759"/>
      <c r="AI49" s="1759"/>
      <c r="AJ49" s="1759"/>
      <c r="AK49" s="1759"/>
      <c r="AL49" s="1759"/>
      <c r="AM49" s="1759"/>
      <c r="AN49" s="1759"/>
      <c r="AO49" s="1759"/>
      <c r="AP49" s="1759"/>
      <c r="AQ49" s="1759"/>
      <c r="AR49" s="1759"/>
      <c r="AS49" s="1759"/>
      <c r="AT49" s="1759"/>
      <c r="AU49" s="20"/>
      <c r="AV49" s="20"/>
      <c r="AW49" s="20"/>
      <c r="AX49" s="20"/>
      <c r="AY49" s="20"/>
      <c r="AZ49" s="20"/>
      <c r="BD49" s="1181" t="s">
        <v>2470</v>
      </c>
      <c r="BE49" s="1183" t="str">
        <f>Application!M255</f>
        <v>Brandon Hodge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2471</v>
      </c>
      <c r="BE50" s="1183" t="str">
        <f>Application!AA258</f>
        <v>Lincoln Avenue Capital LLC (dba Lincoln Avenue Communities)</v>
      </c>
    </row>
    <row r="51" spans="1:57" ht="12.95" customHeight="1">
      <c r="A51" s="1478" t="s">
        <v>2104</v>
      </c>
      <c r="B51" s="1478"/>
      <c r="C51" s="1478"/>
      <c r="D51" s="1478"/>
      <c r="E51" s="1478"/>
      <c r="F51" s="1478"/>
      <c r="G51" s="1478"/>
      <c r="H51" s="1478"/>
      <c r="I51" s="1478"/>
      <c r="J51" s="1478"/>
      <c r="K51" s="1478"/>
      <c r="L51" s="1478"/>
      <c r="M51" s="1478"/>
      <c r="N51" s="1478"/>
      <c r="O51" s="1478"/>
      <c r="P51" s="1478"/>
      <c r="Q51" s="1478"/>
      <c r="R51" s="1478"/>
      <c r="S51" s="1478"/>
      <c r="T51" s="1478"/>
      <c r="U51" s="1478"/>
      <c r="V51" s="1478"/>
      <c r="W51" s="1478"/>
      <c r="X51" s="1478"/>
      <c r="Y51" s="1478"/>
      <c r="Z51" s="1478"/>
      <c r="AA51" s="1478"/>
      <c r="AB51" s="1478"/>
      <c r="AC51" s="1478"/>
      <c r="AD51" s="1478"/>
      <c r="AE51" s="1478"/>
      <c r="AF51" s="1478"/>
      <c r="AG51" s="1478"/>
      <c r="AH51" s="1478"/>
      <c r="AI51" s="1478"/>
      <c r="AJ51" s="1478"/>
      <c r="AK51" s="1478"/>
      <c r="AL51" s="1478"/>
      <c r="AM51" s="1478"/>
      <c r="AN51" s="1478"/>
      <c r="AO51" s="1478"/>
      <c r="AP51" s="1478"/>
      <c r="AQ51" s="1478"/>
      <c r="AR51" s="1478"/>
      <c r="AS51" s="1478"/>
      <c r="AT51" s="1478"/>
      <c r="AU51" s="20"/>
      <c r="AV51" s="20"/>
      <c r="AW51" s="20"/>
      <c r="AX51" s="20"/>
      <c r="AY51" s="20"/>
      <c r="AZ51" s="20"/>
      <c r="BD51" s="1181" t="s">
        <v>2472</v>
      </c>
      <c r="BE51" s="1183" t="str">
        <f>Application!M260</f>
        <v>Pacific Housing, Inc.</v>
      </c>
    </row>
    <row r="52" spans="1:57" ht="12.95" customHeight="1">
      <c r="A52" s="1478"/>
      <c r="B52" s="1478"/>
      <c r="C52" s="1478"/>
      <c r="D52" s="1478"/>
      <c r="E52" s="1478"/>
      <c r="F52" s="1478"/>
      <c r="G52" s="1478"/>
      <c r="H52" s="1478"/>
      <c r="I52" s="1478"/>
      <c r="J52" s="1478"/>
      <c r="K52" s="1478"/>
      <c r="L52" s="1478"/>
      <c r="M52" s="1478"/>
      <c r="N52" s="1478"/>
      <c r="O52" s="1478"/>
      <c r="P52" s="1478"/>
      <c r="Q52" s="1478"/>
      <c r="R52" s="1478"/>
      <c r="S52" s="1478"/>
      <c r="T52" s="1478"/>
      <c r="U52" s="1478"/>
      <c r="V52" s="1478"/>
      <c r="W52" s="1478"/>
      <c r="X52" s="1478"/>
      <c r="Y52" s="1478"/>
      <c r="Z52" s="1478"/>
      <c r="AA52" s="1478"/>
      <c r="AB52" s="1478"/>
      <c r="AC52" s="1478"/>
      <c r="AD52" s="1478"/>
      <c r="AE52" s="1478"/>
      <c r="AF52" s="1478"/>
      <c r="AG52" s="1478"/>
      <c r="AH52" s="1478"/>
      <c r="AI52" s="1478"/>
      <c r="AJ52" s="1478"/>
      <c r="AK52" s="1478"/>
      <c r="AL52" s="1478"/>
      <c r="AM52" s="1478"/>
      <c r="AN52" s="1478"/>
      <c r="AO52" s="1478"/>
      <c r="AP52" s="1478"/>
      <c r="AQ52" s="1478"/>
      <c r="AR52" s="1478"/>
      <c r="AS52" s="1478"/>
      <c r="AT52" s="1478"/>
      <c r="AU52" s="20"/>
      <c r="AV52" s="20"/>
      <c r="AW52" s="20"/>
      <c r="AX52" s="20"/>
      <c r="AY52" s="20"/>
      <c r="AZ52" s="20"/>
      <c r="BD52" s="1182" t="s">
        <v>2473</v>
      </c>
      <c r="BE52" s="1183" t="str">
        <f>Application!M263</f>
        <v>Mat Eland</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2474</v>
      </c>
      <c r="BE53" s="1183" t="str">
        <f>Application!AA266</f>
        <v>Pacific Housing, Inc.</v>
      </c>
    </row>
    <row r="54" spans="1:57" ht="12.95" customHeight="1">
      <c r="A54" s="1478" t="s">
        <v>2105</v>
      </c>
      <c r="B54" s="1478"/>
      <c r="C54" s="1478"/>
      <c r="D54" s="1478"/>
      <c r="E54" s="1478"/>
      <c r="F54" s="1478"/>
      <c r="G54" s="1478"/>
      <c r="H54" s="1478"/>
      <c r="I54" s="1478"/>
      <c r="J54" s="1478"/>
      <c r="K54" s="1478"/>
      <c r="L54" s="1478"/>
      <c r="M54" s="1478"/>
      <c r="N54" s="1478"/>
      <c r="O54" s="1478"/>
      <c r="P54" s="1478"/>
      <c r="Q54" s="1478"/>
      <c r="R54" s="1478"/>
      <c r="S54" s="1478"/>
      <c r="T54" s="1478"/>
      <c r="U54" s="1478"/>
      <c r="V54" s="1478"/>
      <c r="W54" s="1478"/>
      <c r="X54" s="1478"/>
      <c r="Y54" s="1478"/>
      <c r="Z54" s="1478"/>
      <c r="AA54" s="1478"/>
      <c r="AB54" s="1478"/>
      <c r="AC54" s="1478"/>
      <c r="AD54" s="1478"/>
      <c r="AE54" s="1478"/>
      <c r="AF54" s="1478"/>
      <c r="AG54" s="1478"/>
      <c r="AH54" s="1478"/>
      <c r="AI54" s="1478"/>
      <c r="AJ54" s="1478"/>
      <c r="AK54" s="1478"/>
      <c r="AL54" s="1478"/>
      <c r="AM54" s="1478"/>
      <c r="AN54" s="1478"/>
      <c r="AO54" s="1478"/>
      <c r="AP54" s="1478"/>
      <c r="AQ54" s="1478"/>
      <c r="AR54" s="1478"/>
      <c r="AS54" s="1478"/>
      <c r="AT54" s="1478"/>
      <c r="AU54" s="20"/>
      <c r="AV54" s="20"/>
      <c r="AW54" s="20"/>
      <c r="AX54" s="20"/>
      <c r="AY54" s="20"/>
      <c r="AZ54" s="21"/>
      <c r="BD54" s="1182" t="s">
        <v>2475</v>
      </c>
      <c r="BE54" s="1183">
        <f>Application!M268</f>
        <v>0</v>
      </c>
    </row>
    <row r="55" spans="1:57" ht="12.95" customHeight="1">
      <c r="A55" s="1478"/>
      <c r="B55" s="1478"/>
      <c r="C55" s="1478"/>
      <c r="D55" s="1478"/>
      <c r="E55" s="1478"/>
      <c r="F55" s="1478"/>
      <c r="G55" s="1478"/>
      <c r="H55" s="1478"/>
      <c r="I55" s="1478"/>
      <c r="J55" s="1478"/>
      <c r="K55" s="1478"/>
      <c r="L55" s="1478"/>
      <c r="M55" s="1478"/>
      <c r="N55" s="1478"/>
      <c r="O55" s="1478"/>
      <c r="P55" s="1478"/>
      <c r="Q55" s="1478"/>
      <c r="R55" s="1478"/>
      <c r="S55" s="1478"/>
      <c r="T55" s="1478"/>
      <c r="U55" s="1478"/>
      <c r="V55" s="1478"/>
      <c r="W55" s="1478"/>
      <c r="X55" s="1478"/>
      <c r="Y55" s="1478"/>
      <c r="Z55" s="1478"/>
      <c r="AA55" s="1478"/>
      <c r="AB55" s="1478"/>
      <c r="AC55" s="1478"/>
      <c r="AD55" s="1478"/>
      <c r="AE55" s="1478"/>
      <c r="AF55" s="1478"/>
      <c r="AG55" s="1478"/>
      <c r="AH55" s="1478"/>
      <c r="AI55" s="1478"/>
      <c r="AJ55" s="1478"/>
      <c r="AK55" s="1478"/>
      <c r="AL55" s="1478"/>
      <c r="AM55" s="1478"/>
      <c r="AN55" s="1478"/>
      <c r="AO55" s="1478"/>
      <c r="AP55" s="1478"/>
      <c r="AQ55" s="1478"/>
      <c r="AR55" s="1478"/>
      <c r="AS55" s="1478"/>
      <c r="AT55" s="1478"/>
      <c r="AZ55" s="21"/>
      <c r="BD55" s="1181" t="s">
        <v>2476</v>
      </c>
      <c r="BE55" s="1183">
        <f>Application!M271</f>
        <v>0</v>
      </c>
    </row>
    <row r="56" spans="1:57" ht="12.95" customHeight="1">
      <c r="A56" s="1478"/>
      <c r="B56" s="1478"/>
      <c r="C56" s="1478"/>
      <c r="D56" s="1478"/>
      <c r="E56" s="1478"/>
      <c r="F56" s="1478"/>
      <c r="G56" s="1478"/>
      <c r="H56" s="1478"/>
      <c r="I56" s="1478"/>
      <c r="J56" s="1478"/>
      <c r="K56" s="1478"/>
      <c r="L56" s="1478"/>
      <c r="M56" s="1478"/>
      <c r="N56" s="1478"/>
      <c r="O56" s="1478"/>
      <c r="P56" s="1478"/>
      <c r="Q56" s="1478"/>
      <c r="R56" s="1478"/>
      <c r="S56" s="1478"/>
      <c r="T56" s="1478"/>
      <c r="U56" s="1478"/>
      <c r="V56" s="1478"/>
      <c r="W56" s="1478"/>
      <c r="X56" s="1478"/>
      <c r="Y56" s="1478"/>
      <c r="Z56" s="1478"/>
      <c r="AA56" s="1478"/>
      <c r="AB56" s="1478"/>
      <c r="AC56" s="1478"/>
      <c r="AD56" s="1478"/>
      <c r="AE56" s="1478"/>
      <c r="AF56" s="1478"/>
      <c r="AG56" s="1478"/>
      <c r="AH56" s="1478"/>
      <c r="AI56" s="1478"/>
      <c r="AJ56" s="1478"/>
      <c r="AK56" s="1478"/>
      <c r="AL56" s="1478"/>
      <c r="AM56" s="1478"/>
      <c r="AN56" s="1478"/>
      <c r="AO56" s="1478"/>
      <c r="AP56" s="1478"/>
      <c r="AQ56" s="1478"/>
      <c r="AR56" s="1478"/>
      <c r="AS56" s="1478"/>
      <c r="AT56" s="1478"/>
      <c r="BD56" s="1182" t="s">
        <v>2477</v>
      </c>
      <c r="BE56" s="1183">
        <f>Application!AA274</f>
        <v>0</v>
      </c>
    </row>
    <row r="57" spans="1:57" ht="12.95" customHeight="1">
      <c r="A57" s="1478"/>
      <c r="B57" s="1478"/>
      <c r="C57" s="1478"/>
      <c r="D57" s="1478"/>
      <c r="E57" s="1478"/>
      <c r="F57" s="1478"/>
      <c r="G57" s="1478"/>
      <c r="H57" s="1478"/>
      <c r="I57" s="1478"/>
      <c r="J57" s="1478"/>
      <c r="K57" s="1478"/>
      <c r="L57" s="1478"/>
      <c r="M57" s="1478"/>
      <c r="N57" s="1478"/>
      <c r="O57" s="1478"/>
      <c r="P57" s="1478"/>
      <c r="Q57" s="1478"/>
      <c r="R57" s="1478"/>
      <c r="S57" s="1478"/>
      <c r="T57" s="1478"/>
      <c r="U57" s="1478"/>
      <c r="V57" s="1478"/>
      <c r="W57" s="1478"/>
      <c r="X57" s="1478"/>
      <c r="Y57" s="1478"/>
      <c r="Z57" s="1478"/>
      <c r="AA57" s="1478"/>
      <c r="AB57" s="1478"/>
      <c r="AC57" s="1478"/>
      <c r="AD57" s="1478"/>
      <c r="AE57" s="1478"/>
      <c r="AF57" s="1478"/>
      <c r="AG57" s="1478"/>
      <c r="AH57" s="1478"/>
      <c r="AI57" s="1478"/>
      <c r="AJ57" s="1478"/>
      <c r="AK57" s="1478"/>
      <c r="AL57" s="1478"/>
      <c r="AM57" s="1478"/>
      <c r="AN57" s="1478"/>
      <c r="AO57" s="1478"/>
      <c r="AP57" s="1478"/>
      <c r="AQ57" s="1478"/>
      <c r="AR57" s="1478"/>
      <c r="AS57" s="1478"/>
      <c r="AT57" s="1478"/>
      <c r="BD57" s="1181" t="s">
        <v>2478</v>
      </c>
      <c r="BE57" s="1183" t="str">
        <f>Application!H296</f>
        <v>Lincoln Avenue Capital LLC (dba Lincoln Avenue Communities)</v>
      </c>
    </row>
    <row r="58" spans="1:57" ht="12.95" customHeight="1">
      <c r="A58" s="1478"/>
      <c r="B58" s="1478"/>
      <c r="C58" s="1478"/>
      <c r="D58" s="1478"/>
      <c r="E58" s="1478"/>
      <c r="F58" s="1478"/>
      <c r="G58" s="1478"/>
      <c r="H58" s="1478"/>
      <c r="I58" s="1478"/>
      <c r="J58" s="1478"/>
      <c r="K58" s="1478"/>
      <c r="L58" s="1478"/>
      <c r="M58" s="1478"/>
      <c r="N58" s="1478"/>
      <c r="O58" s="1478"/>
      <c r="P58" s="1478"/>
      <c r="Q58" s="1478"/>
      <c r="R58" s="1478"/>
      <c r="S58" s="1478"/>
      <c r="T58" s="1478"/>
      <c r="U58" s="1478"/>
      <c r="V58" s="1478"/>
      <c r="W58" s="1478"/>
      <c r="X58" s="1478"/>
      <c r="Y58" s="1478"/>
      <c r="Z58" s="1478"/>
      <c r="AA58" s="1478"/>
      <c r="AB58" s="1478"/>
      <c r="AC58" s="1478"/>
      <c r="AD58" s="1478"/>
      <c r="AE58" s="1478"/>
      <c r="AF58" s="1478"/>
      <c r="AG58" s="1478"/>
      <c r="AH58" s="1478"/>
      <c r="AI58" s="1478"/>
      <c r="AJ58" s="1478"/>
      <c r="AK58" s="1478"/>
      <c r="AL58" s="1478"/>
      <c r="AM58" s="1478"/>
      <c r="AN58" s="1478"/>
      <c r="AO58" s="1478"/>
      <c r="AP58" s="1478"/>
      <c r="AQ58" s="1478"/>
      <c r="AR58" s="1478"/>
      <c r="AS58" s="1478"/>
      <c r="AT58" s="1478"/>
      <c r="BD58" s="1182" t="s">
        <v>2479</v>
      </c>
      <c r="BE58" s="1183" t="str">
        <f>Application!H297</f>
        <v>401 Wilshire Blvd, 11th Floor</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2480</v>
      </c>
      <c r="BE59" s="1183" t="str">
        <f>Application!H298</f>
        <v>Santa Monica, CA 90401</v>
      </c>
    </row>
    <row r="60" spans="1:57" ht="12.95" customHeight="1">
      <c r="A60" s="1478" t="s">
        <v>2106</v>
      </c>
      <c r="B60" s="1478"/>
      <c r="C60" s="1478"/>
      <c r="D60" s="1478"/>
      <c r="E60" s="1478"/>
      <c r="F60" s="1478"/>
      <c r="G60" s="1478"/>
      <c r="H60" s="1478"/>
      <c r="I60" s="1478"/>
      <c r="J60" s="1478"/>
      <c r="K60" s="1478"/>
      <c r="L60" s="1478"/>
      <c r="M60" s="1478"/>
      <c r="N60" s="1478"/>
      <c r="O60" s="1478"/>
      <c r="P60" s="1478"/>
      <c r="Q60" s="1478"/>
      <c r="R60" s="1478"/>
      <c r="S60" s="1478"/>
      <c r="T60" s="1478"/>
      <c r="U60" s="1478"/>
      <c r="V60" s="1478"/>
      <c r="W60" s="1478"/>
      <c r="X60" s="1478"/>
      <c r="Y60" s="1478"/>
      <c r="Z60" s="1478"/>
      <c r="AA60" s="1478"/>
      <c r="AB60" s="1478"/>
      <c r="AC60" s="1478"/>
      <c r="AD60" s="1478"/>
      <c r="AE60" s="1478"/>
      <c r="AF60" s="1478"/>
      <c r="AG60" s="1478"/>
      <c r="AH60" s="1478"/>
      <c r="AI60" s="1478"/>
      <c r="AJ60" s="1478"/>
      <c r="AK60" s="1478"/>
      <c r="AL60" s="1478"/>
      <c r="AM60" s="1478"/>
      <c r="AN60" s="1478"/>
      <c r="AO60" s="1478"/>
      <c r="AP60" s="1478"/>
      <c r="AQ60" s="1478"/>
      <c r="AR60" s="1478"/>
      <c r="AS60" s="1478"/>
      <c r="AT60" s="1478"/>
      <c r="AU60" s="20"/>
      <c r="AV60" s="20"/>
      <c r="AW60" s="20"/>
      <c r="AX60" s="20"/>
      <c r="AY60" s="20"/>
      <c r="AZ60" s="20"/>
      <c r="BD60" s="1182" t="s">
        <v>2481</v>
      </c>
      <c r="BE60" s="1183" t="str">
        <f>Application!H299</f>
        <v>Brandon Hodge</v>
      </c>
    </row>
    <row r="61" spans="1:57" ht="12.95" customHeight="1">
      <c r="A61" s="1478"/>
      <c r="B61" s="1478"/>
      <c r="C61" s="1478"/>
      <c r="D61" s="1478"/>
      <c r="E61" s="1478"/>
      <c r="F61" s="1478"/>
      <c r="G61" s="1478"/>
      <c r="H61" s="1478"/>
      <c r="I61" s="1478"/>
      <c r="J61" s="1478"/>
      <c r="K61" s="1478"/>
      <c r="L61" s="1478"/>
      <c r="M61" s="1478"/>
      <c r="N61" s="1478"/>
      <c r="O61" s="1478"/>
      <c r="P61" s="1478"/>
      <c r="Q61" s="1478"/>
      <c r="R61" s="1478"/>
      <c r="S61" s="1478"/>
      <c r="T61" s="1478"/>
      <c r="U61" s="1478"/>
      <c r="V61" s="1478"/>
      <c r="W61" s="1478"/>
      <c r="X61" s="1478"/>
      <c r="Y61" s="1478"/>
      <c r="Z61" s="1478"/>
      <c r="AA61" s="1478"/>
      <c r="AB61" s="1478"/>
      <c r="AC61" s="1478"/>
      <c r="AD61" s="1478"/>
      <c r="AE61" s="1478"/>
      <c r="AF61" s="1478"/>
      <c r="AG61" s="1478"/>
      <c r="AH61" s="1478"/>
      <c r="AI61" s="1478"/>
      <c r="AJ61" s="1478"/>
      <c r="AK61" s="1478"/>
      <c r="AL61" s="1478"/>
      <c r="AM61" s="1478"/>
      <c r="AN61" s="1478"/>
      <c r="AO61" s="1478"/>
      <c r="AP61" s="1478"/>
      <c r="AQ61" s="1478"/>
      <c r="AR61" s="1478"/>
      <c r="AS61" s="1478"/>
      <c r="AT61" s="1478"/>
      <c r="AU61" s="20"/>
      <c r="AV61" s="20"/>
      <c r="AW61" s="20"/>
      <c r="AX61" s="20"/>
      <c r="AY61" s="20"/>
      <c r="AZ61" s="20"/>
      <c r="BD61" s="1181" t="s">
        <v>2482</v>
      </c>
      <c r="BE61" s="1183" t="str">
        <f>Application!H302</f>
        <v>bhodge@lincolnavenue.com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2483</v>
      </c>
      <c r="BE62" s="1186">
        <f>'Basis &amp; Credits'!AB50</f>
        <v>0.84999998999999993</v>
      </c>
    </row>
    <row r="63" spans="1:57" ht="12.95"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0.84</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2484</v>
      </c>
      <c r="BE64" s="1183" t="b">
        <f>Application!X180="Yes"</f>
        <v>0</v>
      </c>
    </row>
    <row r="65" spans="1:57" ht="12.95" customHeight="1">
      <c r="A65" s="1439" t="s">
        <v>2108</v>
      </c>
      <c r="B65" s="1439"/>
      <c r="C65" s="1439"/>
      <c r="D65" s="1439"/>
      <c r="E65" s="1439"/>
      <c r="F65" s="1439"/>
      <c r="G65" s="1439"/>
      <c r="H65" s="1439"/>
      <c r="I65" s="1439"/>
      <c r="J65" s="1439"/>
      <c r="K65" s="1439"/>
      <c r="L65" s="1439"/>
      <c r="M65" s="1439"/>
      <c r="N65" s="1439"/>
      <c r="O65" s="1439"/>
      <c r="P65" s="1439"/>
      <c r="Q65" s="1439"/>
      <c r="R65" s="1439"/>
      <c r="S65" s="1439"/>
      <c r="T65" s="1439"/>
      <c r="U65" s="1439"/>
      <c r="V65" s="1439"/>
      <c r="W65" s="1439"/>
      <c r="X65" s="1439"/>
      <c r="Y65" s="1439"/>
      <c r="Z65" s="1439"/>
      <c r="AA65" s="1439"/>
      <c r="AB65" s="1439"/>
      <c r="AC65" s="1439"/>
      <c r="AD65" s="1439"/>
      <c r="AE65" s="1439"/>
      <c r="AF65" s="1439"/>
      <c r="AG65" s="1439"/>
      <c r="AH65" s="1439"/>
      <c r="AI65" s="1439"/>
      <c r="AJ65" s="1439"/>
      <c r="AK65" s="1439"/>
      <c r="AL65" s="1439"/>
      <c r="AM65" s="1439"/>
      <c r="AN65" s="1439"/>
      <c r="AO65" s="1439"/>
      <c r="AP65" s="1439"/>
      <c r="AQ65" s="1439"/>
      <c r="AR65" s="1439"/>
      <c r="AS65" s="1439"/>
      <c r="AT65" s="1439"/>
      <c r="AU65" s="21"/>
      <c r="AV65" s="21"/>
      <c r="AW65" s="21"/>
      <c r="AX65" s="21"/>
      <c r="AY65" s="21"/>
      <c r="AZ65" s="20"/>
      <c r="BD65" s="1181" t="s">
        <v>2518</v>
      </c>
      <c r="BE65" s="1183" t="str">
        <f>Z205</f>
        <v>$500M</v>
      </c>
    </row>
    <row r="66" spans="1:57" ht="12.95" customHeight="1">
      <c r="A66" s="1439"/>
      <c r="B66" s="1439"/>
      <c r="C66" s="1439"/>
      <c r="D66" s="1439"/>
      <c r="E66" s="1439"/>
      <c r="F66" s="1439"/>
      <c r="G66" s="1439"/>
      <c r="H66" s="1439"/>
      <c r="I66" s="1439"/>
      <c r="J66" s="1439"/>
      <c r="K66" s="1439"/>
      <c r="L66" s="1439"/>
      <c r="M66" s="1439"/>
      <c r="N66" s="1439"/>
      <c r="O66" s="1439"/>
      <c r="P66" s="1439"/>
      <c r="Q66" s="1439"/>
      <c r="R66" s="1439"/>
      <c r="S66" s="1439"/>
      <c r="T66" s="1439"/>
      <c r="U66" s="1439"/>
      <c r="V66" s="1439"/>
      <c r="W66" s="1439"/>
      <c r="X66" s="1439"/>
      <c r="Y66" s="1439"/>
      <c r="Z66" s="1439"/>
      <c r="AA66" s="1439"/>
      <c r="AB66" s="1439"/>
      <c r="AC66" s="1439"/>
      <c r="AD66" s="1439"/>
      <c r="AE66" s="1439"/>
      <c r="AF66" s="1439"/>
      <c r="AG66" s="1439"/>
      <c r="AH66" s="1439"/>
      <c r="AI66" s="1439"/>
      <c r="AJ66" s="1439"/>
      <c r="AK66" s="1439"/>
      <c r="AL66" s="1439"/>
      <c r="AM66" s="1439"/>
      <c r="AN66" s="1439"/>
      <c r="AO66" s="1439"/>
      <c r="AP66" s="1439"/>
      <c r="AQ66" s="1439"/>
      <c r="AR66" s="1439"/>
      <c r="AS66" s="1439"/>
      <c r="AT66" s="1439"/>
      <c r="AU66" s="21"/>
      <c r="AV66" s="21"/>
      <c r="AW66" s="21"/>
      <c r="AX66" s="21"/>
      <c r="AY66" s="21"/>
      <c r="AZ66" s="20"/>
      <c r="BD66" s="1182" t="s">
        <v>2485</v>
      </c>
      <c r="BE66" s="1183" t="b">
        <f>Application!Z205="State Farmworker Credit"</f>
        <v>0</v>
      </c>
    </row>
    <row r="67" spans="1:57" ht="12.95" customHeight="1">
      <c r="A67" s="1439"/>
      <c r="B67" s="1439"/>
      <c r="C67" s="1439"/>
      <c r="D67" s="1439"/>
      <c r="E67" s="1439"/>
      <c r="F67" s="1439"/>
      <c r="G67" s="1439"/>
      <c r="H67" s="1439"/>
      <c r="I67" s="1439"/>
      <c r="J67" s="1439"/>
      <c r="K67" s="1439"/>
      <c r="L67" s="1439"/>
      <c r="M67" s="1439"/>
      <c r="N67" s="1439"/>
      <c r="O67" s="1439"/>
      <c r="P67" s="1439"/>
      <c r="Q67" s="1439"/>
      <c r="R67" s="1439"/>
      <c r="S67" s="1439"/>
      <c r="T67" s="1439"/>
      <c r="U67" s="1439"/>
      <c r="V67" s="1439"/>
      <c r="W67" s="1439"/>
      <c r="X67" s="1439"/>
      <c r="Y67" s="1439"/>
      <c r="Z67" s="1439"/>
      <c r="AA67" s="1439"/>
      <c r="AB67" s="1439"/>
      <c r="AC67" s="1439"/>
      <c r="AD67" s="1439"/>
      <c r="AE67" s="1439"/>
      <c r="AF67" s="1439"/>
      <c r="AG67" s="1439"/>
      <c r="AH67" s="1439"/>
      <c r="AI67" s="1439"/>
      <c r="AJ67" s="1439"/>
      <c r="AK67" s="1439"/>
      <c r="AL67" s="1439"/>
      <c r="AM67" s="1439"/>
      <c r="AN67" s="1439"/>
      <c r="AO67" s="1439"/>
      <c r="AP67" s="1439"/>
      <c r="AQ67" s="1439"/>
      <c r="AR67" s="1439"/>
      <c r="AS67" s="1439"/>
      <c r="AT67" s="1439"/>
      <c r="AZ67" s="20"/>
      <c r="BD67" s="1181" t="s">
        <v>2486</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2487</v>
      </c>
      <c r="BE68" s="1183">
        <f>'Sources and Uses Budget'!D105</f>
        <v>0</v>
      </c>
    </row>
    <row r="69" spans="1:57" ht="12.95" customHeight="1">
      <c r="A69" s="1439" t="s">
        <v>2109</v>
      </c>
      <c r="B69" s="1439"/>
      <c r="C69" s="1439"/>
      <c r="D69" s="1439"/>
      <c r="E69" s="1439"/>
      <c r="F69" s="1439"/>
      <c r="G69" s="1439"/>
      <c r="H69" s="1439"/>
      <c r="I69" s="1439"/>
      <c r="J69" s="1439"/>
      <c r="K69" s="1439"/>
      <c r="L69" s="1439"/>
      <c r="M69" s="1439"/>
      <c r="N69" s="1439"/>
      <c r="O69" s="1439"/>
      <c r="P69" s="1439"/>
      <c r="Q69" s="1439"/>
      <c r="R69" s="1439"/>
      <c r="S69" s="1439"/>
      <c r="T69" s="1439"/>
      <c r="U69" s="1439"/>
      <c r="V69" s="1439"/>
      <c r="W69" s="1439"/>
      <c r="X69" s="1439"/>
      <c r="Y69" s="1439"/>
      <c r="Z69" s="1439"/>
      <c r="AA69" s="1439"/>
      <c r="AB69" s="1439"/>
      <c r="AC69" s="1439"/>
      <c r="AD69" s="1439"/>
      <c r="AE69" s="1439"/>
      <c r="AF69" s="1439"/>
      <c r="AG69" s="1439"/>
      <c r="AH69" s="1439"/>
      <c r="AI69" s="1439"/>
      <c r="AJ69" s="1439"/>
      <c r="AK69" s="1439"/>
      <c r="AL69" s="1439"/>
      <c r="AM69" s="1439"/>
      <c r="AN69" s="1439"/>
      <c r="AO69" s="1439"/>
      <c r="AP69" s="1439"/>
      <c r="AQ69" s="1439"/>
      <c r="AR69" s="1439"/>
      <c r="AS69" s="1439"/>
      <c r="AT69" s="1439"/>
      <c r="AZ69" s="20"/>
      <c r="BD69" s="1181" t="s">
        <v>2488</v>
      </c>
      <c r="BE69" s="1183" t="str">
        <f>Application!W708</f>
        <v>California Housing Finance Agency</v>
      </c>
    </row>
    <row r="70" spans="1:57" ht="12.95" customHeight="1">
      <c r="A70" s="1439"/>
      <c r="B70" s="1439"/>
      <c r="C70" s="1439"/>
      <c r="D70" s="1439"/>
      <c r="E70" s="1439"/>
      <c r="F70" s="1439"/>
      <c r="G70" s="1439"/>
      <c r="H70" s="1439"/>
      <c r="I70" s="1439"/>
      <c r="J70" s="1439"/>
      <c r="K70" s="1439"/>
      <c r="L70" s="1439"/>
      <c r="M70" s="1439"/>
      <c r="N70" s="1439"/>
      <c r="O70" s="1439"/>
      <c r="P70" s="1439"/>
      <c r="Q70" s="1439"/>
      <c r="R70" s="1439"/>
      <c r="S70" s="1439"/>
      <c r="T70" s="1439"/>
      <c r="U70" s="1439"/>
      <c r="V70" s="1439"/>
      <c r="W70" s="1439"/>
      <c r="X70" s="1439"/>
      <c r="Y70" s="1439"/>
      <c r="Z70" s="1439"/>
      <c r="AA70" s="1439"/>
      <c r="AB70" s="1439"/>
      <c r="AC70" s="1439"/>
      <c r="AD70" s="1439"/>
      <c r="AE70" s="1439"/>
      <c r="AF70" s="1439"/>
      <c r="AG70" s="1439"/>
      <c r="AH70" s="1439"/>
      <c r="AI70" s="1439"/>
      <c r="AJ70" s="1439"/>
      <c r="AK70" s="1439"/>
      <c r="AL70" s="1439"/>
      <c r="AM70" s="1439"/>
      <c r="AN70" s="1439"/>
      <c r="AO70" s="1439"/>
      <c r="AP70" s="1439"/>
      <c r="AQ70" s="1439"/>
      <c r="AR70" s="1439"/>
      <c r="AS70" s="1439"/>
      <c r="AT70" s="1439"/>
      <c r="AU70" s="20"/>
      <c r="AV70" s="20"/>
      <c r="AW70" s="20"/>
      <c r="AX70" s="20"/>
      <c r="AY70" s="20"/>
      <c r="AZ70" s="20"/>
      <c r="BD70" s="1182" t="s">
        <v>2489</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2610</v>
      </c>
      <c r="BE71" s="1183">
        <f>'Points System'!AF826</f>
        <v>0</v>
      </c>
    </row>
    <row r="72" spans="1:57" ht="12.95" customHeight="1">
      <c r="A72" s="1457" t="s">
        <v>2110</v>
      </c>
      <c r="B72" s="1457"/>
      <c r="C72" s="1457"/>
      <c r="D72" s="1457"/>
      <c r="E72" s="1457"/>
      <c r="F72" s="1457"/>
      <c r="G72" s="1457"/>
      <c r="H72" s="1457"/>
      <c r="I72" s="1457"/>
      <c r="J72" s="1457"/>
      <c r="K72" s="1457"/>
      <c r="L72" s="1457"/>
      <c r="M72" s="1457"/>
      <c r="N72" s="1457"/>
      <c r="O72" s="1457"/>
      <c r="P72" s="1457"/>
      <c r="Q72" s="1457"/>
      <c r="R72" s="1457"/>
      <c r="S72" s="1457"/>
      <c r="T72" s="1457"/>
      <c r="U72" s="1457"/>
      <c r="V72" s="1457"/>
      <c r="W72" s="1457"/>
      <c r="X72" s="1457"/>
      <c r="Y72" s="1457"/>
      <c r="Z72" s="1457"/>
      <c r="AA72" s="1457"/>
      <c r="AB72" s="1457"/>
      <c r="AC72" s="1457"/>
      <c r="AD72" s="1457"/>
      <c r="AE72" s="1457"/>
      <c r="AF72" s="1457"/>
      <c r="AG72" s="1457"/>
      <c r="AH72" s="1457"/>
      <c r="AI72" s="1457"/>
      <c r="AJ72" s="1457"/>
      <c r="AK72" s="1457"/>
      <c r="AL72" s="1457"/>
      <c r="AM72" s="1457"/>
      <c r="AN72" s="1457"/>
      <c r="AO72" s="1457"/>
      <c r="AP72" s="1457"/>
      <c r="AQ72" s="1457"/>
      <c r="AR72" s="1457"/>
      <c r="AS72" s="1457"/>
      <c r="AT72" s="1457"/>
      <c r="AU72" s="20"/>
      <c r="AV72" s="20"/>
      <c r="AW72" s="20"/>
      <c r="AX72" s="20"/>
      <c r="AY72" s="20"/>
      <c r="AZ72" s="20"/>
      <c r="BD72" s="1182" t="s">
        <v>2490</v>
      </c>
      <c r="BE72" s="1183">
        <f>'Points System'!AF827</f>
        <v>10</v>
      </c>
    </row>
    <row r="73" spans="1:57" ht="12.95" customHeight="1">
      <c r="A73" s="1457"/>
      <c r="B73" s="1457"/>
      <c r="C73" s="1457"/>
      <c r="D73" s="1457"/>
      <c r="E73" s="1457"/>
      <c r="F73" s="1457"/>
      <c r="G73" s="1457"/>
      <c r="H73" s="1457"/>
      <c r="I73" s="1457"/>
      <c r="J73" s="1457"/>
      <c r="K73" s="1457"/>
      <c r="L73" s="1457"/>
      <c r="M73" s="1457"/>
      <c r="N73" s="1457"/>
      <c r="O73" s="1457"/>
      <c r="P73" s="1457"/>
      <c r="Q73" s="1457"/>
      <c r="R73" s="1457"/>
      <c r="S73" s="1457"/>
      <c r="T73" s="1457"/>
      <c r="U73" s="1457"/>
      <c r="V73" s="1457"/>
      <c r="W73" s="1457"/>
      <c r="X73" s="1457"/>
      <c r="Y73" s="1457"/>
      <c r="Z73" s="1457"/>
      <c r="AA73" s="1457"/>
      <c r="AB73" s="1457"/>
      <c r="AC73" s="1457"/>
      <c r="AD73" s="1457"/>
      <c r="AE73" s="1457"/>
      <c r="AF73" s="1457"/>
      <c r="AG73" s="1457"/>
      <c r="AH73" s="1457"/>
      <c r="AI73" s="1457"/>
      <c r="AJ73" s="1457"/>
      <c r="AK73" s="1457"/>
      <c r="AL73" s="1457"/>
      <c r="AM73" s="1457"/>
      <c r="AN73" s="1457"/>
      <c r="AO73" s="1457"/>
      <c r="AP73" s="1457"/>
      <c r="AQ73" s="1457"/>
      <c r="AR73" s="1457"/>
      <c r="AS73" s="1457"/>
      <c r="AT73" s="1457"/>
      <c r="AU73" s="20"/>
      <c r="AV73" s="20"/>
      <c r="AW73" s="20"/>
      <c r="AX73" s="20"/>
      <c r="AY73" s="20"/>
      <c r="AZ73" s="20"/>
      <c r="BD73" s="1181" t="s">
        <v>2491</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2492</v>
      </c>
      <c r="BE74" s="1183">
        <f>'Points System'!AF829</f>
        <v>10</v>
      </c>
    </row>
    <row r="75" spans="1:57" ht="12.95" customHeight="1">
      <c r="A75" s="1469" t="s">
        <v>2111</v>
      </c>
      <c r="B75" s="1469"/>
      <c r="C75" s="1469"/>
      <c r="D75" s="1469"/>
      <c r="E75" s="1469"/>
      <c r="F75" s="1469"/>
      <c r="G75" s="1469"/>
      <c r="H75" s="1469"/>
      <c r="I75" s="1469"/>
      <c r="J75" s="1469"/>
      <c r="K75" s="1469"/>
      <c r="L75" s="1469"/>
      <c r="M75" s="1469"/>
      <c r="N75" s="1469"/>
      <c r="O75" s="1469"/>
      <c r="P75" s="1469"/>
      <c r="Q75" s="1469"/>
      <c r="R75" s="1469"/>
      <c r="S75" s="1469"/>
      <c r="T75" s="1469"/>
      <c r="U75" s="1469"/>
      <c r="V75" s="1469"/>
      <c r="W75" s="1469"/>
      <c r="X75" s="1469"/>
      <c r="Y75" s="1469"/>
      <c r="Z75" s="1469"/>
      <c r="AA75" s="1469"/>
      <c r="AB75" s="1469"/>
      <c r="AC75" s="1469"/>
      <c r="AD75" s="1469"/>
      <c r="AE75" s="1469"/>
      <c r="AF75" s="1469"/>
      <c r="AG75" s="1469"/>
      <c r="AH75" s="1469"/>
      <c r="AI75" s="1469"/>
      <c r="AJ75" s="1469"/>
      <c r="AK75" s="1469"/>
      <c r="AL75" s="1469"/>
      <c r="AM75" s="1469"/>
      <c r="AN75" s="1469"/>
      <c r="AO75" s="1469"/>
      <c r="AP75" s="1469"/>
      <c r="AQ75" s="1469"/>
      <c r="AR75" s="1469"/>
      <c r="AS75" s="1469"/>
      <c r="AT75" s="1469"/>
      <c r="AU75" s="20"/>
      <c r="AV75" s="20"/>
      <c r="AW75" s="20"/>
      <c r="AX75" s="20"/>
      <c r="AY75" s="20"/>
      <c r="AZ75" s="20"/>
      <c r="BD75" s="1181" t="s">
        <v>2493</v>
      </c>
      <c r="BE75" s="1183">
        <f>'Points System'!AF830</f>
        <v>10</v>
      </c>
    </row>
    <row r="76" spans="1:57" ht="12.95" customHeight="1">
      <c r="A76" s="1469"/>
      <c r="B76" s="1469"/>
      <c r="C76" s="1469"/>
      <c r="D76" s="1469"/>
      <c r="E76" s="1469"/>
      <c r="F76" s="1469"/>
      <c r="G76" s="1469"/>
      <c r="H76" s="1469"/>
      <c r="I76" s="1469"/>
      <c r="J76" s="1469"/>
      <c r="K76" s="1469"/>
      <c r="L76" s="1469"/>
      <c r="M76" s="1469"/>
      <c r="N76" s="1469"/>
      <c r="O76" s="1469"/>
      <c r="P76" s="1469"/>
      <c r="Q76" s="1469"/>
      <c r="R76" s="1469"/>
      <c r="S76" s="1469"/>
      <c r="T76" s="1469"/>
      <c r="U76" s="1469"/>
      <c r="V76" s="1469"/>
      <c r="W76" s="1469"/>
      <c r="X76" s="1469"/>
      <c r="Y76" s="1469"/>
      <c r="Z76" s="1469"/>
      <c r="AA76" s="1469"/>
      <c r="AB76" s="1469"/>
      <c r="AC76" s="1469"/>
      <c r="AD76" s="1469"/>
      <c r="AE76" s="1469"/>
      <c r="AF76" s="1469"/>
      <c r="AG76" s="1469"/>
      <c r="AH76" s="1469"/>
      <c r="AI76" s="1469"/>
      <c r="AJ76" s="1469"/>
      <c r="AK76" s="1469"/>
      <c r="AL76" s="1469"/>
      <c r="AM76" s="1469"/>
      <c r="AN76" s="1469"/>
      <c r="AO76" s="1469"/>
      <c r="AP76" s="1469"/>
      <c r="AQ76" s="1469"/>
      <c r="AR76" s="1469"/>
      <c r="AS76" s="1469"/>
      <c r="AT76" s="1469"/>
      <c r="AU76" s="20"/>
      <c r="AV76" s="20"/>
      <c r="AW76" s="20"/>
      <c r="AX76" s="20"/>
      <c r="AY76" s="20"/>
      <c r="AZ76" s="17"/>
      <c r="BD76" s="1182" t="s">
        <v>2494</v>
      </c>
      <c r="BE76" s="1183">
        <f>'Points System'!AF833</f>
        <v>10</v>
      </c>
    </row>
    <row r="77" spans="1:57" ht="12.95" customHeight="1">
      <c r="A77" s="1469"/>
      <c r="B77" s="1469"/>
      <c r="C77" s="1469"/>
      <c r="D77" s="1469"/>
      <c r="E77" s="1469"/>
      <c r="F77" s="1469"/>
      <c r="G77" s="1469"/>
      <c r="H77" s="1469"/>
      <c r="I77" s="1469"/>
      <c r="J77" s="1469"/>
      <c r="K77" s="1469"/>
      <c r="L77" s="1469"/>
      <c r="M77" s="1469"/>
      <c r="N77" s="1469"/>
      <c r="O77" s="1469"/>
      <c r="P77" s="1469"/>
      <c r="Q77" s="1469"/>
      <c r="R77" s="1469"/>
      <c r="S77" s="1469"/>
      <c r="T77" s="1469"/>
      <c r="U77" s="1469"/>
      <c r="V77" s="1469"/>
      <c r="W77" s="1469"/>
      <c r="X77" s="1469"/>
      <c r="Y77" s="1469"/>
      <c r="Z77" s="1469"/>
      <c r="AA77" s="1469"/>
      <c r="AB77" s="1469"/>
      <c r="AC77" s="1469"/>
      <c r="AD77" s="1469"/>
      <c r="AE77" s="1469"/>
      <c r="AF77" s="1469"/>
      <c r="AG77" s="1469"/>
      <c r="AH77" s="1469"/>
      <c r="AI77" s="1469"/>
      <c r="AJ77" s="1469"/>
      <c r="AK77" s="1469"/>
      <c r="AL77" s="1469"/>
      <c r="AM77" s="1469"/>
      <c r="AN77" s="1469"/>
      <c r="AO77" s="1469"/>
      <c r="AP77" s="1469"/>
      <c r="AQ77" s="1469"/>
      <c r="AR77" s="1469"/>
      <c r="AS77" s="1469"/>
      <c r="AT77" s="1469"/>
      <c r="AU77" s="20"/>
      <c r="AV77" s="20"/>
      <c r="AW77" s="20"/>
      <c r="AX77" s="20"/>
      <c r="AY77" s="20"/>
      <c r="AZ77" s="17"/>
      <c r="BD77" s="1181" t="s">
        <v>2495</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2496</v>
      </c>
      <c r="BE78" s="1183">
        <f>'Points System'!AF836</f>
        <v>10</v>
      </c>
    </row>
    <row r="79" spans="1:57" ht="12.95" customHeight="1">
      <c r="A79" s="1439" t="s">
        <v>2112</v>
      </c>
      <c r="B79" s="1439"/>
      <c r="C79" s="1439"/>
      <c r="D79" s="1439"/>
      <c r="E79" s="1439"/>
      <c r="F79" s="1439"/>
      <c r="G79" s="1439"/>
      <c r="H79" s="1439"/>
      <c r="I79" s="1439"/>
      <c r="J79" s="1439"/>
      <c r="K79" s="1439"/>
      <c r="L79" s="1439"/>
      <c r="M79" s="1439"/>
      <c r="N79" s="1439"/>
      <c r="O79" s="1439"/>
      <c r="P79" s="1439"/>
      <c r="Q79" s="1439"/>
      <c r="R79" s="1439"/>
      <c r="S79" s="1439"/>
      <c r="T79" s="1439"/>
      <c r="U79" s="1439"/>
      <c r="V79" s="1439"/>
      <c r="W79" s="1439"/>
      <c r="X79" s="1439"/>
      <c r="Y79" s="1439"/>
      <c r="Z79" s="1439"/>
      <c r="AA79" s="1439"/>
      <c r="AB79" s="1439"/>
      <c r="AC79" s="1439"/>
      <c r="AD79" s="1439"/>
      <c r="AE79" s="1439"/>
      <c r="AF79" s="1439"/>
      <c r="AG79" s="1439"/>
      <c r="AH79" s="1439"/>
      <c r="AI79" s="1439"/>
      <c r="AJ79" s="1439"/>
      <c r="AK79" s="1439"/>
      <c r="AL79" s="1439"/>
      <c r="AM79" s="1439"/>
      <c r="AN79" s="1439"/>
      <c r="AO79" s="1439"/>
      <c r="AP79" s="1439"/>
      <c r="AQ79" s="1439"/>
      <c r="AR79" s="1439"/>
      <c r="AS79" s="1439"/>
      <c r="AT79" s="1439"/>
      <c r="AU79" s="20"/>
      <c r="AV79" s="20"/>
      <c r="AW79" s="20"/>
      <c r="AX79" s="20"/>
      <c r="AY79" s="20"/>
      <c r="AZ79" s="20"/>
      <c r="BD79" s="1181" t="s">
        <v>2611</v>
      </c>
      <c r="BE79" s="1183">
        <f>'Points System'!AF837</f>
        <v>10</v>
      </c>
    </row>
    <row r="80" spans="1:57" ht="12.95" customHeight="1">
      <c r="A80" s="1439"/>
      <c r="B80" s="1439"/>
      <c r="C80" s="1439"/>
      <c r="D80" s="1439"/>
      <c r="E80" s="1439"/>
      <c r="F80" s="1439"/>
      <c r="G80" s="1439"/>
      <c r="H80" s="1439"/>
      <c r="I80" s="1439"/>
      <c r="J80" s="1439"/>
      <c r="K80" s="1439"/>
      <c r="L80" s="1439"/>
      <c r="M80" s="1439"/>
      <c r="N80" s="1439"/>
      <c r="O80" s="1439"/>
      <c r="P80" s="1439"/>
      <c r="Q80" s="1439"/>
      <c r="R80" s="1439"/>
      <c r="S80" s="1439"/>
      <c r="T80" s="1439"/>
      <c r="U80" s="1439"/>
      <c r="V80" s="1439"/>
      <c r="W80" s="1439"/>
      <c r="X80" s="1439"/>
      <c r="Y80" s="1439"/>
      <c r="Z80" s="1439"/>
      <c r="AA80" s="1439"/>
      <c r="AB80" s="1439"/>
      <c r="AC80" s="1439"/>
      <c r="AD80" s="1439"/>
      <c r="AE80" s="1439"/>
      <c r="AF80" s="1439"/>
      <c r="AG80" s="1439"/>
      <c r="AH80" s="1439"/>
      <c r="AI80" s="1439"/>
      <c r="AJ80" s="1439"/>
      <c r="AK80" s="1439"/>
      <c r="AL80" s="1439"/>
      <c r="AM80" s="1439"/>
      <c r="AN80" s="1439"/>
      <c r="AO80" s="1439"/>
      <c r="AP80" s="1439"/>
      <c r="AQ80" s="1439"/>
      <c r="AR80" s="1439"/>
      <c r="AS80" s="1439"/>
      <c r="AT80" s="1439"/>
      <c r="AU80" s="20"/>
      <c r="AV80" s="20"/>
      <c r="AW80" s="20"/>
      <c r="AX80" s="20"/>
      <c r="AY80" s="20"/>
      <c r="AZ80" s="20"/>
      <c r="BD80" s="1182" t="s">
        <v>2497</v>
      </c>
      <c r="BE80" s="1183">
        <f>'Points System'!AF839</f>
        <v>10</v>
      </c>
    </row>
    <row r="81" spans="1:57" ht="12.95" customHeight="1">
      <c r="A81" s="1439"/>
      <c r="B81" s="1439"/>
      <c r="C81" s="1439"/>
      <c r="D81" s="1439"/>
      <c r="E81" s="1439"/>
      <c r="F81" s="1439"/>
      <c r="G81" s="1439"/>
      <c r="H81" s="1439"/>
      <c r="I81" s="1439"/>
      <c r="J81" s="1439"/>
      <c r="K81" s="1439"/>
      <c r="L81" s="1439"/>
      <c r="M81" s="1439"/>
      <c r="N81" s="1439"/>
      <c r="O81" s="1439"/>
      <c r="P81" s="1439"/>
      <c r="Q81" s="1439"/>
      <c r="R81" s="1439"/>
      <c r="S81" s="1439"/>
      <c r="T81" s="1439"/>
      <c r="U81" s="1439"/>
      <c r="V81" s="1439"/>
      <c r="W81" s="1439"/>
      <c r="X81" s="1439"/>
      <c r="Y81" s="1439"/>
      <c r="Z81" s="1439"/>
      <c r="AA81" s="1439"/>
      <c r="AB81" s="1439"/>
      <c r="AC81" s="1439"/>
      <c r="AD81" s="1439"/>
      <c r="AE81" s="1439"/>
      <c r="AF81" s="1439"/>
      <c r="AG81" s="1439"/>
      <c r="AH81" s="1439"/>
      <c r="AI81" s="1439"/>
      <c r="AJ81" s="1439"/>
      <c r="AK81" s="1439"/>
      <c r="AL81" s="1439"/>
      <c r="AM81" s="1439"/>
      <c r="AN81" s="1439"/>
      <c r="AO81" s="1439"/>
      <c r="AP81" s="1439"/>
      <c r="AQ81" s="1439"/>
      <c r="AR81" s="1439"/>
      <c r="AS81" s="1439"/>
      <c r="AT81" s="1439"/>
      <c r="AU81" s="20"/>
      <c r="AV81" s="20"/>
      <c r="AW81" s="20"/>
      <c r="AX81" s="20"/>
      <c r="AY81" s="20"/>
      <c r="AZ81" s="20"/>
      <c r="BD81" s="1181" t="s">
        <v>2498</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2499</v>
      </c>
      <c r="BE82" s="1183">
        <f>'Points System'!AF841</f>
        <v>10</v>
      </c>
    </row>
    <row r="83" spans="1:57" ht="12.95" customHeight="1">
      <c r="A83" s="1478" t="s">
        <v>2113</v>
      </c>
      <c r="B83" s="1478"/>
      <c r="C83" s="1478"/>
      <c r="D83" s="1478"/>
      <c r="E83" s="1478"/>
      <c r="F83" s="1478"/>
      <c r="G83" s="1478"/>
      <c r="H83" s="1478"/>
      <c r="I83" s="1478"/>
      <c r="J83" s="1478"/>
      <c r="K83" s="1478"/>
      <c r="L83" s="1478"/>
      <c r="M83" s="1478"/>
      <c r="N83" s="1478"/>
      <c r="O83" s="1478"/>
      <c r="P83" s="1478"/>
      <c r="Q83" s="1478"/>
      <c r="R83" s="1478"/>
      <c r="S83" s="1478"/>
      <c r="T83" s="1478"/>
      <c r="U83" s="1478"/>
      <c r="V83" s="1478"/>
      <c r="W83" s="1478"/>
      <c r="X83" s="1478"/>
      <c r="Y83" s="1478"/>
      <c r="Z83" s="1478"/>
      <c r="AA83" s="1478"/>
      <c r="AB83" s="1478"/>
      <c r="AC83" s="1478"/>
      <c r="AD83" s="1478"/>
      <c r="AE83" s="1478"/>
      <c r="AF83" s="1478"/>
      <c r="AG83" s="1478"/>
      <c r="AH83" s="1478"/>
      <c r="AI83" s="1478"/>
      <c r="AJ83" s="1478"/>
      <c r="AK83" s="1478"/>
      <c r="AL83" s="1478"/>
      <c r="AM83" s="1478"/>
      <c r="AN83" s="1478"/>
      <c r="AO83" s="1478"/>
      <c r="AP83" s="1478"/>
      <c r="AQ83" s="1478"/>
      <c r="AR83" s="1478"/>
      <c r="AS83" s="1478"/>
      <c r="AT83" s="1478"/>
      <c r="AU83" s="20"/>
      <c r="AV83" s="20"/>
      <c r="AW83" s="20"/>
      <c r="AX83" s="20"/>
      <c r="AY83" s="20"/>
      <c r="AZ83" s="20"/>
      <c r="BD83" s="1181" t="s">
        <v>2500</v>
      </c>
      <c r="BE83" s="1187">
        <f>'Tie Breaker'!H5</f>
        <v>1.7211271132407211</v>
      </c>
    </row>
    <row r="84" spans="1:57" ht="12.95" customHeight="1">
      <c r="A84" s="1478"/>
      <c r="B84" s="1478"/>
      <c r="C84" s="1478"/>
      <c r="D84" s="1478"/>
      <c r="E84" s="1478"/>
      <c r="F84" s="1478"/>
      <c r="G84" s="1478"/>
      <c r="H84" s="1478"/>
      <c r="I84" s="1478"/>
      <c r="J84" s="1478"/>
      <c r="K84" s="1478"/>
      <c r="L84" s="1478"/>
      <c r="M84" s="1478"/>
      <c r="N84" s="1478"/>
      <c r="O84" s="1478"/>
      <c r="P84" s="1478"/>
      <c r="Q84" s="1478"/>
      <c r="R84" s="1478"/>
      <c r="S84" s="1478"/>
      <c r="T84" s="1478"/>
      <c r="U84" s="1478"/>
      <c r="V84" s="1478"/>
      <c r="W84" s="1478"/>
      <c r="X84" s="1478"/>
      <c r="Y84" s="1478"/>
      <c r="Z84" s="1478"/>
      <c r="AA84" s="1478"/>
      <c r="AB84" s="1478"/>
      <c r="AC84" s="1478"/>
      <c r="AD84" s="1478"/>
      <c r="AE84" s="1478"/>
      <c r="AF84" s="1478"/>
      <c r="AG84" s="1478"/>
      <c r="AH84" s="1478"/>
      <c r="AI84" s="1478"/>
      <c r="AJ84" s="1478"/>
      <c r="AK84" s="1478"/>
      <c r="AL84" s="1478"/>
      <c r="AM84" s="1478"/>
      <c r="AN84" s="1478"/>
      <c r="AO84" s="1478"/>
      <c r="AP84" s="1478"/>
      <c r="AQ84" s="1478"/>
      <c r="AR84" s="1478"/>
      <c r="AS84" s="1478"/>
      <c r="AT84" s="1478"/>
      <c r="AU84" s="20"/>
      <c r="AV84" s="20"/>
      <c r="AW84" s="20"/>
      <c r="AX84" s="20"/>
      <c r="AY84" s="20"/>
      <c r="AZ84" s="20"/>
      <c r="BD84" s="1182" t="s">
        <v>2501</v>
      </c>
      <c r="BE84" s="1183" t="str">
        <f>Application!O153</f>
        <v>City of Indio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2502</v>
      </c>
      <c r="BE85" s="1183" t="str">
        <f>Application!O154</f>
        <v>Bryan Montgomery</v>
      </c>
    </row>
    <row r="86" spans="1:57" ht="12.95" customHeight="1">
      <c r="A86" s="1478" t="s">
        <v>2114</v>
      </c>
      <c r="B86" s="1478"/>
      <c r="C86" s="1478"/>
      <c r="D86" s="1478"/>
      <c r="E86" s="1478"/>
      <c r="F86" s="1478"/>
      <c r="G86" s="1478"/>
      <c r="H86" s="1478"/>
      <c r="I86" s="1478"/>
      <c r="J86" s="1478"/>
      <c r="K86" s="1478"/>
      <c r="L86" s="1478"/>
      <c r="M86" s="1478"/>
      <c r="N86" s="1478"/>
      <c r="O86" s="1478"/>
      <c r="P86" s="1478"/>
      <c r="Q86" s="1478"/>
      <c r="R86" s="1478"/>
      <c r="S86" s="1478"/>
      <c r="T86" s="1478"/>
      <c r="U86" s="1478"/>
      <c r="V86" s="1478"/>
      <c r="W86" s="1478"/>
      <c r="X86" s="1478"/>
      <c r="Y86" s="1478"/>
      <c r="Z86" s="1478"/>
      <c r="AA86" s="1478"/>
      <c r="AB86" s="1478"/>
      <c r="AC86" s="1478"/>
      <c r="AD86" s="1478"/>
      <c r="AE86" s="1478"/>
      <c r="AF86" s="1478"/>
      <c r="AG86" s="1478"/>
      <c r="AH86" s="1478"/>
      <c r="AI86" s="1478"/>
      <c r="AJ86" s="1478"/>
      <c r="AK86" s="1478"/>
      <c r="AL86" s="1478"/>
      <c r="AM86" s="1478"/>
      <c r="AN86" s="1478"/>
      <c r="AO86" s="1478"/>
      <c r="AP86" s="1478"/>
      <c r="AQ86" s="1478"/>
      <c r="AR86" s="1478"/>
      <c r="AS86" s="1478"/>
      <c r="AT86" s="1478"/>
      <c r="AU86" s="20"/>
      <c r="AV86" s="20"/>
      <c r="AW86" s="20"/>
      <c r="AX86" s="20"/>
      <c r="AY86" s="20"/>
      <c r="AZ86" s="20"/>
      <c r="BD86" s="1182" t="s">
        <v>2503</v>
      </c>
      <c r="BE86" s="1183" t="str">
        <f>Application!O155</f>
        <v>City Manager</v>
      </c>
    </row>
    <row r="87" spans="1:57" ht="12.95" customHeight="1">
      <c r="A87" s="1478"/>
      <c r="B87" s="1478"/>
      <c r="C87" s="1478"/>
      <c r="D87" s="1478"/>
      <c r="E87" s="1478"/>
      <c r="F87" s="1478"/>
      <c r="G87" s="1478"/>
      <c r="H87" s="1478"/>
      <c r="I87" s="1478"/>
      <c r="J87" s="1478"/>
      <c r="K87" s="1478"/>
      <c r="L87" s="1478"/>
      <c r="M87" s="1478"/>
      <c r="N87" s="1478"/>
      <c r="O87" s="1478"/>
      <c r="P87" s="1478"/>
      <c r="Q87" s="1478"/>
      <c r="R87" s="1478"/>
      <c r="S87" s="1478"/>
      <c r="T87" s="1478"/>
      <c r="U87" s="1478"/>
      <c r="V87" s="1478"/>
      <c r="W87" s="1478"/>
      <c r="X87" s="1478"/>
      <c r="Y87" s="1478"/>
      <c r="Z87" s="1478"/>
      <c r="AA87" s="1478"/>
      <c r="AB87" s="1478"/>
      <c r="AC87" s="1478"/>
      <c r="AD87" s="1478"/>
      <c r="AE87" s="1478"/>
      <c r="AF87" s="1478"/>
      <c r="AG87" s="1478"/>
      <c r="AH87" s="1478"/>
      <c r="AI87" s="1478"/>
      <c r="AJ87" s="1478"/>
      <c r="AK87" s="1478"/>
      <c r="AL87" s="1478"/>
      <c r="AM87" s="1478"/>
      <c r="AN87" s="1478"/>
      <c r="AO87" s="1478"/>
      <c r="AP87" s="1478"/>
      <c r="AQ87" s="1478"/>
      <c r="AR87" s="1478"/>
      <c r="AS87" s="1478"/>
      <c r="AT87" s="1478"/>
      <c r="AU87" s="20"/>
      <c r="AV87" s="20"/>
      <c r="AW87" s="20"/>
      <c r="AX87" s="20"/>
      <c r="AY87" s="20"/>
      <c r="AZ87" s="20"/>
      <c r="BD87" s="1181" t="s">
        <v>2504</v>
      </c>
      <c r="BE87" s="1183" t="str">
        <f>Application!O156</f>
        <v>100 Civic Center Mall</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2505</v>
      </c>
      <c r="BE88" s="1183" t="str">
        <f>Application!O157</f>
        <v>Indio</v>
      </c>
    </row>
    <row r="89" spans="1:57" ht="12.95" customHeight="1">
      <c r="A89" s="1479" t="s">
        <v>2115</v>
      </c>
      <c r="B89" s="1479"/>
      <c r="C89" s="1479"/>
      <c r="D89" s="1479"/>
      <c r="E89" s="1479"/>
      <c r="F89" s="1479"/>
      <c r="G89" s="1479"/>
      <c r="H89" s="1479"/>
      <c r="I89" s="1479"/>
      <c r="J89" s="1479"/>
      <c r="K89" s="1479"/>
      <c r="L89" s="1479"/>
      <c r="M89" s="1479"/>
      <c r="N89" s="1479"/>
      <c r="O89" s="1479"/>
      <c r="P89" s="1479"/>
      <c r="Q89" s="1479"/>
      <c r="R89" s="1479"/>
      <c r="S89" s="1479"/>
      <c r="T89" s="1479"/>
      <c r="U89" s="1479"/>
      <c r="V89" s="1479"/>
      <c r="W89" s="1479"/>
      <c r="X89" s="1479"/>
      <c r="Y89" s="1479"/>
      <c r="Z89" s="1479"/>
      <c r="AA89" s="1479"/>
      <c r="AB89" s="1479"/>
      <c r="AC89" s="1479"/>
      <c r="AD89" s="1479"/>
      <c r="AE89" s="1479"/>
      <c r="AF89" s="1479"/>
      <c r="AG89" s="1479"/>
      <c r="AH89" s="1479"/>
      <c r="AI89" s="1479"/>
      <c r="AJ89" s="1479"/>
      <c r="AK89" s="1479"/>
      <c r="AL89" s="1479"/>
      <c r="AM89" s="1479"/>
      <c r="AN89" s="1479"/>
      <c r="AO89" s="1479"/>
      <c r="AP89" s="1479"/>
      <c r="AQ89" s="1479"/>
      <c r="AR89" s="1479"/>
      <c r="AS89" s="1479"/>
      <c r="AT89" s="1479"/>
      <c r="AU89" s="17"/>
      <c r="AV89" s="17"/>
      <c r="AW89" s="17"/>
      <c r="AX89" s="17"/>
      <c r="AY89" s="17"/>
      <c r="AZ89" s="20"/>
      <c r="BD89" s="1181" t="s">
        <v>2506</v>
      </c>
      <c r="BE89" s="1183">
        <f>Application!O158</f>
        <v>92201</v>
      </c>
    </row>
    <row r="90" spans="1:57" ht="12.95" customHeight="1">
      <c r="A90" s="1479"/>
      <c r="B90" s="1479"/>
      <c r="C90" s="1479"/>
      <c r="D90" s="1479"/>
      <c r="E90" s="1479"/>
      <c r="F90" s="1479"/>
      <c r="G90" s="1479"/>
      <c r="H90" s="1479"/>
      <c r="I90" s="1479"/>
      <c r="J90" s="1479"/>
      <c r="K90" s="1479"/>
      <c r="L90" s="1479"/>
      <c r="M90" s="1479"/>
      <c r="N90" s="1479"/>
      <c r="O90" s="1479"/>
      <c r="P90" s="1479"/>
      <c r="Q90" s="1479"/>
      <c r="R90" s="1479"/>
      <c r="S90" s="1479"/>
      <c r="T90" s="1479"/>
      <c r="U90" s="1479"/>
      <c r="V90" s="1479"/>
      <c r="W90" s="1479"/>
      <c r="X90" s="1479"/>
      <c r="Y90" s="1479"/>
      <c r="Z90" s="1479"/>
      <c r="AA90" s="1479"/>
      <c r="AB90" s="1479"/>
      <c r="AC90" s="1479"/>
      <c r="AD90" s="1479"/>
      <c r="AE90" s="1479"/>
      <c r="AF90" s="1479"/>
      <c r="AG90" s="1479"/>
      <c r="AH90" s="1479"/>
      <c r="AI90" s="1479"/>
      <c r="AJ90" s="1479"/>
      <c r="AK90" s="1479"/>
      <c r="AL90" s="1479"/>
      <c r="AM90" s="1479"/>
      <c r="AN90" s="1479"/>
      <c r="AO90" s="1479"/>
      <c r="AP90" s="1479"/>
      <c r="AQ90" s="1479"/>
      <c r="AR90" s="1479"/>
      <c r="AS90" s="1479"/>
      <c r="AT90" s="1479"/>
      <c r="AU90" s="17"/>
      <c r="AV90" s="17"/>
      <c r="AW90" s="17"/>
      <c r="AX90" s="17"/>
      <c r="AY90" s="17"/>
      <c r="AZ90" s="20"/>
      <c r="BD90" s="1182" t="s">
        <v>2507</v>
      </c>
      <c r="BE90" s="1183" t="str">
        <f>Application!H16</f>
        <v>Avenue 42 Apartments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2508</v>
      </c>
      <c r="BE91" s="1183" t="str">
        <f>Application!M242</f>
        <v>401 Wilshire Blvd, 11th Floor</v>
      </c>
    </row>
    <row r="92" spans="1:57" ht="12.95" customHeight="1">
      <c r="A92" s="1469" t="s">
        <v>2116</v>
      </c>
      <c r="B92" s="1469"/>
      <c r="C92" s="1469"/>
      <c r="D92" s="1469"/>
      <c r="E92" s="1469"/>
      <c r="F92" s="1469"/>
      <c r="G92" s="1469"/>
      <c r="H92" s="1469"/>
      <c r="I92" s="1469"/>
      <c r="J92" s="1469"/>
      <c r="K92" s="1469"/>
      <c r="L92" s="1469"/>
      <c r="M92" s="1469"/>
      <c r="N92" s="1469"/>
      <c r="O92" s="1469"/>
      <c r="P92" s="1469"/>
      <c r="Q92" s="1469"/>
      <c r="R92" s="1469"/>
      <c r="S92" s="1469"/>
      <c r="T92" s="1469"/>
      <c r="U92" s="1469"/>
      <c r="V92" s="1469"/>
      <c r="W92" s="1469"/>
      <c r="X92" s="1469"/>
      <c r="Y92" s="1469"/>
      <c r="Z92" s="1469"/>
      <c r="AA92" s="1469"/>
      <c r="AB92" s="1469"/>
      <c r="AC92" s="1469"/>
      <c r="AD92" s="1469"/>
      <c r="AE92" s="1469"/>
      <c r="AF92" s="1469"/>
      <c r="AG92" s="1469"/>
      <c r="AH92" s="1469"/>
      <c r="AI92" s="1469"/>
      <c r="AJ92" s="1469"/>
      <c r="AK92" s="1469"/>
      <c r="AL92" s="1469"/>
      <c r="AM92" s="1469"/>
      <c r="AN92" s="1469"/>
      <c r="AO92" s="1469"/>
      <c r="AP92" s="1469"/>
      <c r="AQ92" s="1469"/>
      <c r="AR92" s="1469"/>
      <c r="AS92" s="1469"/>
      <c r="AT92" s="1469"/>
      <c r="AU92" s="20"/>
      <c r="AV92" s="20"/>
      <c r="AW92" s="20"/>
      <c r="AX92" s="20"/>
      <c r="AY92" s="20"/>
      <c r="AZ92" s="20"/>
      <c r="BD92" s="1182" t="s">
        <v>2509</v>
      </c>
      <c r="BE92" s="1183" t="str">
        <f>Application!M243</f>
        <v>Santa Monica</v>
      </c>
    </row>
    <row r="93" spans="1:57" ht="12.95" customHeight="1">
      <c r="A93" s="1469"/>
      <c r="B93" s="1469"/>
      <c r="C93" s="1469"/>
      <c r="D93" s="1469"/>
      <c r="E93" s="1469"/>
      <c r="F93" s="1469"/>
      <c r="G93" s="1469"/>
      <c r="H93" s="1469"/>
      <c r="I93" s="1469"/>
      <c r="J93" s="1469"/>
      <c r="K93" s="1469"/>
      <c r="L93" s="1469"/>
      <c r="M93" s="1469"/>
      <c r="N93" s="1469"/>
      <c r="O93" s="1469"/>
      <c r="P93" s="1469"/>
      <c r="Q93" s="1469"/>
      <c r="R93" s="1469"/>
      <c r="S93" s="1469"/>
      <c r="T93" s="1469"/>
      <c r="U93" s="1469"/>
      <c r="V93" s="1469"/>
      <c r="W93" s="1469"/>
      <c r="X93" s="1469"/>
      <c r="Y93" s="1469"/>
      <c r="Z93" s="1469"/>
      <c r="AA93" s="1469"/>
      <c r="AB93" s="1469"/>
      <c r="AC93" s="1469"/>
      <c r="AD93" s="1469"/>
      <c r="AE93" s="1469"/>
      <c r="AF93" s="1469"/>
      <c r="AG93" s="1469"/>
      <c r="AH93" s="1469"/>
      <c r="AI93" s="1469"/>
      <c r="AJ93" s="1469"/>
      <c r="AK93" s="1469"/>
      <c r="AL93" s="1469"/>
      <c r="AM93" s="1469"/>
      <c r="AN93" s="1469"/>
      <c r="AO93" s="1469"/>
      <c r="AP93" s="1469"/>
      <c r="AQ93" s="1469"/>
      <c r="AR93" s="1469"/>
      <c r="AS93" s="1469"/>
      <c r="AT93" s="1469"/>
      <c r="AU93" s="20"/>
      <c r="AV93" s="20"/>
      <c r="AW93" s="20"/>
      <c r="AX93" s="20"/>
      <c r="AY93" s="20"/>
      <c r="AZ93" s="20"/>
      <c r="BD93" s="1181" t="s">
        <v>2510</v>
      </c>
      <c r="BE93" s="1183" t="str">
        <f>Application!W243</f>
        <v>CA</v>
      </c>
    </row>
    <row r="94" spans="1:57" ht="12.95" customHeight="1">
      <c r="A94" s="1469"/>
      <c r="B94" s="1469"/>
      <c r="C94" s="1469"/>
      <c r="D94" s="1469"/>
      <c r="E94" s="1469"/>
      <c r="F94" s="1469"/>
      <c r="G94" s="1469"/>
      <c r="H94" s="1469"/>
      <c r="I94" s="1469"/>
      <c r="J94" s="1469"/>
      <c r="K94" s="1469"/>
      <c r="L94" s="1469"/>
      <c r="M94" s="1469"/>
      <c r="N94" s="1469"/>
      <c r="O94" s="1469"/>
      <c r="P94" s="1469"/>
      <c r="Q94" s="1469"/>
      <c r="R94" s="1469"/>
      <c r="S94" s="1469"/>
      <c r="T94" s="1469"/>
      <c r="U94" s="1469"/>
      <c r="V94" s="1469"/>
      <c r="W94" s="1469"/>
      <c r="X94" s="1469"/>
      <c r="Y94" s="1469"/>
      <c r="Z94" s="1469"/>
      <c r="AA94" s="1469"/>
      <c r="AB94" s="1469"/>
      <c r="AC94" s="1469"/>
      <c r="AD94" s="1469"/>
      <c r="AE94" s="1469"/>
      <c r="AF94" s="1469"/>
      <c r="AG94" s="1469"/>
      <c r="AH94" s="1469"/>
      <c r="AI94" s="1469"/>
      <c r="AJ94" s="1469"/>
      <c r="AK94" s="1469"/>
      <c r="AL94" s="1469"/>
      <c r="AM94" s="1469"/>
      <c r="AN94" s="1469"/>
      <c r="AO94" s="1469"/>
      <c r="AP94" s="1469"/>
      <c r="AQ94" s="1469"/>
      <c r="AR94" s="1469"/>
      <c r="AS94" s="1469"/>
      <c r="AT94" s="1469"/>
      <c r="AU94" s="20"/>
      <c r="AV94" s="20"/>
      <c r="AW94" s="20"/>
      <c r="AX94" s="20"/>
      <c r="AY94" s="20"/>
      <c r="AZ94" s="20"/>
      <c r="BD94" s="1182" t="s">
        <v>2511</v>
      </c>
      <c r="BE94" s="1183">
        <f>Application!AC243</f>
        <v>90405</v>
      </c>
    </row>
    <row r="95" spans="1:57" ht="12.95" customHeight="1">
      <c r="A95" s="1469"/>
      <c r="B95" s="1469"/>
      <c r="C95" s="1469"/>
      <c r="D95" s="1469"/>
      <c r="E95" s="1469"/>
      <c r="F95" s="1469"/>
      <c r="G95" s="1469"/>
      <c r="H95" s="1469"/>
      <c r="I95" s="1469"/>
      <c r="J95" s="1469"/>
      <c r="K95" s="1469"/>
      <c r="L95" s="1469"/>
      <c r="M95" s="1469"/>
      <c r="N95" s="1469"/>
      <c r="O95" s="1469"/>
      <c r="P95" s="1469"/>
      <c r="Q95" s="1469"/>
      <c r="R95" s="1469"/>
      <c r="S95" s="1469"/>
      <c r="T95" s="1469"/>
      <c r="U95" s="1469"/>
      <c r="V95" s="1469"/>
      <c r="W95" s="1469"/>
      <c r="X95" s="1469"/>
      <c r="Y95" s="1469"/>
      <c r="Z95" s="1469"/>
      <c r="AA95" s="1469"/>
      <c r="AB95" s="1469"/>
      <c r="AC95" s="1469"/>
      <c r="AD95" s="1469"/>
      <c r="AE95" s="1469"/>
      <c r="AF95" s="1469"/>
      <c r="AG95" s="1469"/>
      <c r="AH95" s="1469"/>
      <c r="AI95" s="1469"/>
      <c r="AJ95" s="1469"/>
      <c r="AK95" s="1469"/>
      <c r="AL95" s="1469"/>
      <c r="AM95" s="1469"/>
      <c r="AN95" s="1469"/>
      <c r="AO95" s="1469"/>
      <c r="AP95" s="1469"/>
      <c r="AQ95" s="1469"/>
      <c r="AR95" s="1469"/>
      <c r="AS95" s="1469"/>
      <c r="AT95" s="1469"/>
      <c r="AU95" s="20"/>
      <c r="AV95" s="20"/>
      <c r="AW95" s="20"/>
      <c r="AX95" s="20"/>
      <c r="AY95" s="20"/>
      <c r="AZ95" s="20"/>
      <c r="BD95" s="1181" t="s">
        <v>2512</v>
      </c>
      <c r="BE95" s="1183" t="str">
        <f>Application!M244</f>
        <v>Brandon Hodge</v>
      </c>
    </row>
    <row r="96" spans="1:57" ht="12.95" customHeight="1">
      <c r="A96" s="1469"/>
      <c r="B96" s="1469"/>
      <c r="C96" s="1469"/>
      <c r="D96" s="1469"/>
      <c r="E96" s="1469"/>
      <c r="F96" s="1469"/>
      <c r="G96" s="1469"/>
      <c r="H96" s="1469"/>
      <c r="I96" s="1469"/>
      <c r="J96" s="1469"/>
      <c r="K96" s="1469"/>
      <c r="L96" s="1469"/>
      <c r="M96" s="1469"/>
      <c r="N96" s="1469"/>
      <c r="O96" s="1469"/>
      <c r="P96" s="1469"/>
      <c r="Q96" s="1469"/>
      <c r="R96" s="1469"/>
      <c r="S96" s="1469"/>
      <c r="T96" s="1469"/>
      <c r="U96" s="1469"/>
      <c r="V96" s="1469"/>
      <c r="W96" s="1469"/>
      <c r="X96" s="1469"/>
      <c r="Y96" s="1469"/>
      <c r="Z96" s="1469"/>
      <c r="AA96" s="1469"/>
      <c r="AB96" s="1469"/>
      <c r="AC96" s="1469"/>
      <c r="AD96" s="1469"/>
      <c r="AE96" s="1469"/>
      <c r="AF96" s="1469"/>
      <c r="AG96" s="1469"/>
      <c r="AH96" s="1469"/>
      <c r="AI96" s="1469"/>
      <c r="AJ96" s="1469"/>
      <c r="AK96" s="1469"/>
      <c r="AL96" s="1469"/>
      <c r="AM96" s="1469"/>
      <c r="AN96" s="1469"/>
      <c r="AO96" s="1469"/>
      <c r="AP96" s="1469"/>
      <c r="AQ96" s="1469"/>
      <c r="AR96" s="1469"/>
      <c r="AS96" s="1469"/>
      <c r="AT96" s="1469"/>
      <c r="AU96" s="20"/>
      <c r="AV96" s="20"/>
      <c r="AW96" s="20"/>
      <c r="AX96" s="20"/>
      <c r="AY96" s="20"/>
      <c r="AZ96" s="20"/>
      <c r="BD96" s="1182" t="s">
        <v>2513</v>
      </c>
      <c r="BE96" s="1183" t="str">
        <f>Application!M246</f>
        <v>bhodge@lincolnavenue.com</v>
      </c>
    </row>
    <row r="97" spans="1:57" ht="12.95" customHeight="1">
      <c r="A97" s="1469"/>
      <c r="B97" s="1469"/>
      <c r="C97" s="1469"/>
      <c r="D97" s="1469"/>
      <c r="E97" s="1469"/>
      <c r="F97" s="1469"/>
      <c r="G97" s="1469"/>
      <c r="H97" s="1469"/>
      <c r="I97" s="1469"/>
      <c r="J97" s="1469"/>
      <c r="K97" s="1469"/>
      <c r="L97" s="1469"/>
      <c r="M97" s="1469"/>
      <c r="N97" s="1469"/>
      <c r="O97" s="1469"/>
      <c r="P97" s="1469"/>
      <c r="Q97" s="1469"/>
      <c r="R97" s="1469"/>
      <c r="S97" s="1469"/>
      <c r="T97" s="1469"/>
      <c r="U97" s="1469"/>
      <c r="V97" s="1469"/>
      <c r="W97" s="1469"/>
      <c r="X97" s="1469"/>
      <c r="Y97" s="1469"/>
      <c r="Z97" s="1469"/>
      <c r="AA97" s="1469"/>
      <c r="AB97" s="1469"/>
      <c r="AC97" s="1469"/>
      <c r="AD97" s="1469"/>
      <c r="AE97" s="1469"/>
      <c r="AF97" s="1469"/>
      <c r="AG97" s="1469"/>
      <c r="AH97" s="1469"/>
      <c r="AI97" s="1469"/>
      <c r="AJ97" s="1469"/>
      <c r="AK97" s="1469"/>
      <c r="AL97" s="1469"/>
      <c r="AM97" s="1469"/>
      <c r="AN97" s="1469"/>
      <c r="AO97" s="1469"/>
      <c r="AP97" s="1469"/>
      <c r="AQ97" s="1469"/>
      <c r="AR97" s="1469"/>
      <c r="AS97" s="1469"/>
      <c r="AT97" s="1469"/>
      <c r="AU97" s="20"/>
      <c r="AV97" s="20"/>
      <c r="AW97" s="20"/>
      <c r="AX97" s="20"/>
      <c r="AY97" s="20"/>
      <c r="AZ97" s="20"/>
      <c r="BD97" s="1181" t="s">
        <v>2514</v>
      </c>
      <c r="BE97" s="1183" t="str">
        <f>Application!M257</f>
        <v>bhodge@lincolnavenue.com</v>
      </c>
    </row>
    <row r="98" spans="1:57" ht="12.95" customHeight="1">
      <c r="A98" s="1469"/>
      <c r="B98" s="1469"/>
      <c r="C98" s="1469"/>
      <c r="D98" s="1469"/>
      <c r="E98" s="1469"/>
      <c r="F98" s="1469"/>
      <c r="G98" s="1469"/>
      <c r="H98" s="1469"/>
      <c r="I98" s="1469"/>
      <c r="J98" s="1469"/>
      <c r="K98" s="1469"/>
      <c r="L98" s="1469"/>
      <c r="M98" s="1469"/>
      <c r="N98" s="1469"/>
      <c r="O98" s="1469"/>
      <c r="P98" s="1469"/>
      <c r="Q98" s="1469"/>
      <c r="R98" s="1469"/>
      <c r="S98" s="1469"/>
      <c r="T98" s="1469"/>
      <c r="U98" s="1469"/>
      <c r="V98" s="1469"/>
      <c r="W98" s="1469"/>
      <c r="X98" s="1469"/>
      <c r="Y98" s="1469"/>
      <c r="Z98" s="1469"/>
      <c r="AA98" s="1469"/>
      <c r="AB98" s="1469"/>
      <c r="AC98" s="1469"/>
      <c r="AD98" s="1469"/>
      <c r="AE98" s="1469"/>
      <c r="AF98" s="1469"/>
      <c r="AG98" s="1469"/>
      <c r="AH98" s="1469"/>
      <c r="AI98" s="1469"/>
      <c r="AJ98" s="1469"/>
      <c r="AK98" s="1469"/>
      <c r="AL98" s="1469"/>
      <c r="AM98" s="1469"/>
      <c r="AN98" s="1469"/>
      <c r="AO98" s="1469"/>
      <c r="AP98" s="1469"/>
      <c r="AQ98" s="1469"/>
      <c r="AR98" s="1469"/>
      <c r="AS98" s="1469"/>
      <c r="AT98" s="1469"/>
      <c r="AU98" s="20"/>
      <c r="AV98" s="20"/>
      <c r="AW98" s="20"/>
      <c r="AX98" s="20"/>
      <c r="AY98" s="20"/>
      <c r="AZ98" s="20"/>
      <c r="BD98" s="1182" t="s">
        <v>2515</v>
      </c>
      <c r="BE98" s="1183" t="str">
        <f>Application!M265</f>
        <v>meland@pacifichousing.org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2516</v>
      </c>
      <c r="BE99" s="1183">
        <f>Application!M273</f>
        <v>0</v>
      </c>
    </row>
    <row r="100" spans="1:57" ht="12.95" customHeight="1">
      <c r="A100" s="1480" t="s">
        <v>2117</v>
      </c>
      <c r="B100" s="1480"/>
      <c r="C100" s="1480"/>
      <c r="D100" s="1480"/>
      <c r="E100" s="1480"/>
      <c r="F100" s="1480"/>
      <c r="G100" s="1480"/>
      <c r="H100" s="1480"/>
      <c r="I100" s="1480"/>
      <c r="J100" s="1480"/>
      <c r="K100" s="1480"/>
      <c r="L100" s="1480"/>
      <c r="M100" s="1480"/>
      <c r="N100" s="1480"/>
      <c r="O100" s="1480"/>
      <c r="P100" s="1480"/>
      <c r="Q100" s="1480"/>
      <c r="R100" s="1480"/>
      <c r="S100" s="1480"/>
      <c r="T100" s="1480"/>
      <c r="U100" s="1480"/>
      <c r="V100" s="1480"/>
      <c r="W100" s="1480"/>
      <c r="X100" s="1480"/>
      <c r="Y100" s="1480"/>
      <c r="Z100" s="1480"/>
      <c r="AA100" s="1480"/>
      <c r="AB100" s="1480"/>
      <c r="AC100" s="1480"/>
      <c r="AD100" s="1480"/>
      <c r="AE100" s="1480"/>
      <c r="AF100" s="1480"/>
      <c r="AG100" s="1480"/>
      <c r="AH100" s="1480"/>
      <c r="AI100" s="1480"/>
      <c r="AJ100" s="1480"/>
      <c r="AK100" s="1480"/>
      <c r="AL100" s="1480"/>
      <c r="AM100" s="1480"/>
      <c r="AN100" s="1480"/>
      <c r="AO100" s="1480"/>
      <c r="AP100" s="1480"/>
      <c r="AQ100" s="1480"/>
      <c r="AR100" s="1480"/>
      <c r="AS100" s="1480"/>
      <c r="AT100" s="1480"/>
      <c r="AU100" s="20"/>
      <c r="AV100" s="20"/>
      <c r="AW100" s="20"/>
      <c r="AX100" s="20"/>
      <c r="AY100" s="20"/>
      <c r="AZ100" s="20"/>
      <c r="BD100" s="1182" t="s">
        <v>2517</v>
      </c>
      <c r="BE100" s="1183" t="str">
        <f>Application!L288</f>
        <v>bhodge@lincolnavenue.com</v>
      </c>
    </row>
    <row r="101" spans="1:57" ht="12.95" customHeight="1">
      <c r="A101" s="1480"/>
      <c r="B101" s="1480"/>
      <c r="C101" s="1480"/>
      <c r="D101" s="1480"/>
      <c r="E101" s="1480"/>
      <c r="F101" s="1480"/>
      <c r="G101" s="1480"/>
      <c r="H101" s="1480"/>
      <c r="I101" s="1480"/>
      <c r="J101" s="1480"/>
      <c r="K101" s="1480"/>
      <c r="L101" s="1480"/>
      <c r="M101" s="1480"/>
      <c r="N101" s="1480"/>
      <c r="O101" s="1480"/>
      <c r="P101" s="1480"/>
      <c r="Q101" s="1480"/>
      <c r="R101" s="1480"/>
      <c r="S101" s="1480"/>
      <c r="T101" s="1480"/>
      <c r="U101" s="1480"/>
      <c r="V101" s="1480"/>
      <c r="W101" s="1480"/>
      <c r="X101" s="1480"/>
      <c r="Y101" s="1480"/>
      <c r="Z101" s="1480"/>
      <c r="AA101" s="1480"/>
      <c r="AB101" s="1480"/>
      <c r="AC101" s="1480"/>
      <c r="AD101" s="1480"/>
      <c r="AE101" s="1480"/>
      <c r="AF101" s="1480"/>
      <c r="AG101" s="1480"/>
      <c r="AH101" s="1480"/>
      <c r="AI101" s="1480"/>
      <c r="AJ101" s="1480"/>
      <c r="AK101" s="1480"/>
      <c r="AL101" s="1480"/>
      <c r="AM101" s="1480"/>
      <c r="AN101" s="1480"/>
      <c r="AO101" s="1480"/>
      <c r="AP101" s="1480"/>
      <c r="AQ101" s="1480"/>
      <c r="AR101" s="1480"/>
      <c r="AS101" s="1480"/>
      <c r="AT101" s="1480"/>
      <c r="AU101" s="20"/>
      <c r="AV101" s="20"/>
      <c r="AW101" s="20"/>
      <c r="AX101" s="20"/>
      <c r="AY101" s="20"/>
      <c r="AZ101" s="20"/>
      <c r="BD101" s="3" t="s">
        <v>2522</v>
      </c>
      <c r="BE101">
        <f>'Sources and Uses Budget'!C105</f>
        <v>117426075</v>
      </c>
    </row>
    <row r="102" spans="1:57" ht="12.95" customHeight="1">
      <c r="A102" s="1480"/>
      <c r="B102" s="1480"/>
      <c r="C102" s="1480"/>
      <c r="D102" s="1480"/>
      <c r="E102" s="1480"/>
      <c r="F102" s="1480"/>
      <c r="G102" s="1480"/>
      <c r="H102" s="1480"/>
      <c r="I102" s="1480"/>
      <c r="J102" s="1480"/>
      <c r="K102" s="1480"/>
      <c r="L102" s="1480"/>
      <c r="M102" s="1480"/>
      <c r="N102" s="1480"/>
      <c r="O102" s="1480"/>
      <c r="P102" s="1480"/>
      <c r="Q102" s="1480"/>
      <c r="R102" s="1480"/>
      <c r="S102" s="1480"/>
      <c r="T102" s="1480"/>
      <c r="U102" s="1480"/>
      <c r="V102" s="1480"/>
      <c r="W102" s="1480"/>
      <c r="X102" s="1480"/>
      <c r="Y102" s="1480"/>
      <c r="Z102" s="1480"/>
      <c r="AA102" s="1480"/>
      <c r="AB102" s="1480"/>
      <c r="AC102" s="1480"/>
      <c r="AD102" s="1480"/>
      <c r="AE102" s="1480"/>
      <c r="AF102" s="1480"/>
      <c r="AG102" s="1480"/>
      <c r="AH102" s="1480"/>
      <c r="AI102" s="1480"/>
      <c r="AJ102" s="1480"/>
      <c r="AK102" s="1480"/>
      <c r="AL102" s="1480"/>
      <c r="AM102" s="1480"/>
      <c r="AN102" s="1480"/>
      <c r="AO102" s="1480"/>
      <c r="AP102" s="1480"/>
      <c r="AQ102" s="1480"/>
      <c r="AR102" s="1480"/>
      <c r="AS102" s="1480"/>
      <c r="AT102" s="1480"/>
      <c r="AU102" s="20"/>
      <c r="AV102" s="20"/>
      <c r="AW102" s="20"/>
      <c r="AX102" s="20"/>
      <c r="AY102" s="20"/>
      <c r="AZ102" s="20"/>
      <c r="BD102" s="3" t="s">
        <v>2523</v>
      </c>
      <c r="BE102" t="b">
        <f>T197="Yes"</f>
        <v>0</v>
      </c>
    </row>
    <row r="103" spans="1:57" ht="12.95" customHeight="1">
      <c r="A103" s="1480"/>
      <c r="B103" s="1480"/>
      <c r="C103" s="1480"/>
      <c r="D103" s="1480"/>
      <c r="E103" s="1480"/>
      <c r="F103" s="1480"/>
      <c r="G103" s="1480"/>
      <c r="H103" s="1480"/>
      <c r="I103" s="1480"/>
      <c r="J103" s="1480"/>
      <c r="K103" s="1480"/>
      <c r="L103" s="1480"/>
      <c r="M103" s="1480"/>
      <c r="N103" s="1480"/>
      <c r="O103" s="1480"/>
      <c r="P103" s="1480"/>
      <c r="Q103" s="1480"/>
      <c r="R103" s="1480"/>
      <c r="S103" s="1480"/>
      <c r="T103" s="1480"/>
      <c r="U103" s="1480"/>
      <c r="V103" s="1480"/>
      <c r="W103" s="1480"/>
      <c r="X103" s="1480"/>
      <c r="Y103" s="1480"/>
      <c r="Z103" s="1480"/>
      <c r="AA103" s="1480"/>
      <c r="AB103" s="1480"/>
      <c r="AC103" s="1480"/>
      <c r="AD103" s="1480"/>
      <c r="AE103" s="1480"/>
      <c r="AF103" s="1480"/>
      <c r="AG103" s="1480"/>
      <c r="AH103" s="1480"/>
      <c r="AI103" s="1480"/>
      <c r="AJ103" s="1480"/>
      <c r="AK103" s="1480"/>
      <c r="AL103" s="1480"/>
      <c r="AM103" s="1480"/>
      <c r="AN103" s="1480"/>
      <c r="AO103" s="1480"/>
      <c r="AP103" s="1480"/>
      <c r="AQ103" s="1480"/>
      <c r="AR103" s="1480"/>
      <c r="AS103" s="1480"/>
      <c r="AT103" s="1480"/>
      <c r="AU103" s="20"/>
      <c r="AV103" s="20"/>
      <c r="AW103" s="20"/>
      <c r="AX103" s="20"/>
      <c r="AY103" s="20"/>
      <c r="BD103" t="s">
        <v>2127</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3" t="b">
        <f>T200="Yes"</f>
        <v>0</v>
      </c>
    </row>
    <row r="105" spans="1:57" ht="12.95" customHeight="1">
      <c r="A105" s="1480" t="s">
        <v>2118</v>
      </c>
      <c r="B105" s="1480"/>
      <c r="C105" s="1480"/>
      <c r="D105" s="1480"/>
      <c r="E105" s="1480"/>
      <c r="F105" s="1480"/>
      <c r="G105" s="1480"/>
      <c r="H105" s="1480"/>
      <c r="I105" s="1480"/>
      <c r="J105" s="1480"/>
      <c r="K105" s="1480"/>
      <c r="L105" s="1480"/>
      <c r="M105" s="1480"/>
      <c r="N105" s="1480"/>
      <c r="O105" s="1480"/>
      <c r="P105" s="1480"/>
      <c r="Q105" s="1480"/>
      <c r="R105" s="1480"/>
      <c r="S105" s="1480"/>
      <c r="T105" s="1480"/>
      <c r="U105" s="1480"/>
      <c r="V105" s="1480"/>
      <c r="W105" s="1480"/>
      <c r="X105" s="1480"/>
      <c r="Y105" s="1480"/>
      <c r="Z105" s="1480"/>
      <c r="AA105" s="1480"/>
      <c r="AB105" s="1480"/>
      <c r="AC105" s="1480"/>
      <c r="AD105" s="1480"/>
      <c r="AE105" s="1480"/>
      <c r="AF105" s="1480"/>
      <c r="AG105" s="1480"/>
      <c r="AH105" s="1480"/>
      <c r="AI105" s="1480"/>
      <c r="AJ105" s="1480"/>
      <c r="AK105" s="1480"/>
      <c r="AL105" s="1480"/>
      <c r="AM105" s="1480"/>
      <c r="AN105" s="1480"/>
      <c r="AO105" s="1480"/>
      <c r="AP105" s="1480"/>
      <c r="AQ105" s="1480"/>
      <c r="AR105" s="1480"/>
      <c r="AS105" s="1480"/>
      <c r="AT105" s="1480"/>
      <c r="AU105" s="20"/>
      <c r="AV105" s="20"/>
      <c r="AW105" s="20"/>
      <c r="AX105" s="20"/>
      <c r="AY105" s="20"/>
      <c r="BD105" s="3" t="s">
        <v>2539</v>
      </c>
      <c r="BE105" s="1183" t="b">
        <f>V224="Yes"</f>
        <v>0</v>
      </c>
    </row>
    <row r="106" spans="1:57" ht="12.95" customHeight="1">
      <c r="A106" s="1480"/>
      <c r="B106" s="1480"/>
      <c r="C106" s="1480"/>
      <c r="D106" s="1480"/>
      <c r="E106" s="1480"/>
      <c r="F106" s="1480"/>
      <c r="G106" s="1480"/>
      <c r="H106" s="1480"/>
      <c r="I106" s="1480"/>
      <c r="J106" s="1480"/>
      <c r="K106" s="1480"/>
      <c r="L106" s="1480"/>
      <c r="M106" s="1480"/>
      <c r="N106" s="1480"/>
      <c r="O106" s="1480"/>
      <c r="P106" s="1480"/>
      <c r="Q106" s="1480"/>
      <c r="R106" s="1480"/>
      <c r="S106" s="1480"/>
      <c r="T106" s="1480"/>
      <c r="U106" s="1480"/>
      <c r="V106" s="1480"/>
      <c r="W106" s="1480"/>
      <c r="X106" s="1480"/>
      <c r="Y106" s="1480"/>
      <c r="Z106" s="1480"/>
      <c r="AA106" s="1480"/>
      <c r="AB106" s="1480"/>
      <c r="AC106" s="1480"/>
      <c r="AD106" s="1480"/>
      <c r="AE106" s="1480"/>
      <c r="AF106" s="1480"/>
      <c r="AG106" s="1480"/>
      <c r="AH106" s="1480"/>
      <c r="AI106" s="1480"/>
      <c r="AJ106" s="1480"/>
      <c r="AK106" s="1480"/>
      <c r="AL106" s="1480"/>
      <c r="AM106" s="1480"/>
      <c r="AN106" s="1480"/>
      <c r="AO106" s="1480"/>
      <c r="AP106" s="1480"/>
      <c r="AQ106" s="1480"/>
      <c r="AR106" s="1480"/>
      <c r="AS106" s="1480"/>
      <c r="AT106" s="1480"/>
      <c r="AU106" s="20"/>
      <c r="AV106" s="20"/>
      <c r="AW106" s="20"/>
      <c r="AX106" s="20"/>
      <c r="AY106" s="20"/>
      <c r="BD106" s="3" t="s">
        <v>2540</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3" t="b">
        <f t="shared" si="0"/>
        <v>0</v>
      </c>
    </row>
    <row r="108" spans="1:57" ht="12.95"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472"/>
      <c r="H113" s="1472"/>
      <c r="I113" s="3" t="s">
        <v>181</v>
      </c>
      <c r="L113" s="1472"/>
      <c r="M113" s="1472"/>
      <c r="N113" s="1472"/>
      <c r="O113" s="1472"/>
      <c r="P113" s="1486" t="s">
        <v>2603</v>
      </c>
      <c r="Q113" s="1486"/>
      <c r="R113" s="1486"/>
      <c r="S113" s="148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73"/>
      <c r="D115" s="1473"/>
      <c r="E115" s="1473"/>
      <c r="F115" s="1473"/>
      <c r="G115" s="1473"/>
      <c r="H115" s="1473"/>
      <c r="I115" s="1473"/>
      <c r="J115" s="1473"/>
      <c r="K115" s="1473"/>
      <c r="L115" s="202"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626</v>
      </c>
      <c r="Y117" s="1472"/>
      <c r="Z117" s="1472"/>
      <c r="AA117" s="1472"/>
      <c r="AB117" s="1472"/>
      <c r="AC117" s="1472"/>
      <c r="AD117" s="1472"/>
      <c r="AE117" s="1472"/>
      <c r="AF117" s="1472"/>
      <c r="AG117" s="1472"/>
      <c r="AH117" s="1472"/>
      <c r="AI117" s="1472"/>
      <c r="AJ117" s="1472"/>
      <c r="AK117" s="1472"/>
    </row>
    <row r="118" spans="1:117" ht="12.95" customHeight="1">
      <c r="X118" s="3"/>
      <c r="Y118" s="3"/>
      <c r="Z118" s="3" t="s">
        <v>627</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72"/>
      <c r="Z120" s="1472"/>
      <c r="AA120" s="1472"/>
      <c r="AB120" s="1472"/>
      <c r="AC120" s="1472"/>
      <c r="AD120" s="1472"/>
      <c r="AE120" s="1472"/>
      <c r="AF120" s="1472"/>
      <c r="AG120" s="1472"/>
      <c r="AH120" s="1472"/>
      <c r="AI120" s="1472"/>
      <c r="AJ120" s="1472"/>
      <c r="AK120" s="147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07" t="s">
        <v>467</v>
      </c>
      <c r="CV122" s="1608"/>
      <c r="CW122" s="14"/>
      <c r="CX122" s="14" t="s">
        <v>632</v>
      </c>
      <c r="CY122" s="14"/>
      <c r="CZ122" s="14"/>
      <c r="DA122" s="14"/>
      <c r="DB122" s="14"/>
      <c r="DC122" s="14"/>
      <c r="DD122" s="14"/>
      <c r="DE122" s="14"/>
      <c r="DF122" s="14"/>
      <c r="DG122" s="1604" t="str">
        <f>T189</f>
        <v>Riverside</v>
      </c>
      <c r="DH122" s="1605"/>
      <c r="DI122" s="1605"/>
      <c r="DJ122" s="1605"/>
      <c r="DK122" s="1605"/>
      <c r="DL122" s="1605"/>
      <c r="DM122" s="1606"/>
    </row>
    <row r="123" spans="1:117" ht="12.95" customHeight="1">
      <c r="A123" s="3"/>
      <c r="B123" s="3"/>
      <c r="T123" s="3"/>
      <c r="U123" s="3"/>
      <c r="V123" s="3"/>
      <c r="W123" s="3"/>
      <c r="X123" s="3"/>
      <c r="Y123" s="1472"/>
      <c r="Z123" s="1472"/>
      <c r="AA123" s="1472"/>
      <c r="AB123" s="1472"/>
      <c r="AC123" s="1472"/>
      <c r="AD123" s="1472"/>
      <c r="AE123" s="1472"/>
      <c r="AF123" s="1472"/>
      <c r="AG123" s="1472"/>
      <c r="AH123" s="1472"/>
      <c r="AI123" s="1472"/>
      <c r="AJ123" s="1472"/>
      <c r="AK123" s="147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5" customHeight="1">
      <c r="A150" s="3"/>
      <c r="B150" s="3"/>
      <c r="D150" s="3"/>
      <c r="E150" s="3"/>
      <c r="F150" s="1391"/>
      <c r="G150" s="1391"/>
      <c r="H150" s="1391"/>
      <c r="I150" s="1391"/>
      <c r="J150" s="1391"/>
      <c r="K150" s="1391"/>
      <c r="L150" s="1391"/>
      <c r="M150" s="1391"/>
      <c r="N150" s="1391"/>
      <c r="O150" s="1391"/>
      <c r="P150" s="1391"/>
      <c r="Q150" s="1391"/>
      <c r="R150" s="1391"/>
      <c r="S150" s="1391"/>
      <c r="T150" s="139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2.95" customHeight="1">
      <c r="BM152">
        <v>4</v>
      </c>
      <c r="BN152" s="3" t="s">
        <v>2392</v>
      </c>
    </row>
    <row r="153" spans="1:108" ht="12.95" customHeight="1">
      <c r="D153" t="s">
        <v>643</v>
      </c>
      <c r="O153" s="1435" t="s">
        <v>2656</v>
      </c>
      <c r="P153" s="1438"/>
      <c r="Q153" s="1438"/>
      <c r="R153" s="1438"/>
      <c r="S153" s="1438"/>
      <c r="T153" s="1438"/>
      <c r="U153" s="1438"/>
      <c r="V153" s="1438"/>
      <c r="W153" s="1438"/>
      <c r="X153" s="1438"/>
      <c r="Y153" s="1438"/>
      <c r="Z153" s="1438"/>
      <c r="AA153" s="1438"/>
      <c r="AB153" s="1438"/>
      <c r="AC153" s="1438"/>
      <c r="AD153" s="1438"/>
      <c r="AE153" s="1438"/>
      <c r="AF153" s="1438"/>
      <c r="AG153" s="1438"/>
      <c r="AH153" s="1438"/>
      <c r="BM153">
        <v>5</v>
      </c>
      <c r="BN153" s="3" t="s">
        <v>2394</v>
      </c>
      <c r="CR153" s="31" t="s">
        <v>2632</v>
      </c>
      <c r="CS153" s="32"/>
      <c r="CT153" s="32"/>
      <c r="CU153" s="32"/>
      <c r="CV153" s="32"/>
      <c r="CW153" s="32"/>
      <c r="CX153" s="14"/>
      <c r="CY153" s="31" t="s">
        <v>2633</v>
      </c>
      <c r="CZ153" s="14"/>
      <c r="DA153" s="14"/>
      <c r="DB153" s="14"/>
      <c r="DC153" s="14"/>
      <c r="DD153" s="14"/>
    </row>
    <row r="154" spans="1:108" ht="12.95" customHeight="1">
      <c r="D154" s="303" t="s">
        <v>437</v>
      </c>
      <c r="O154" s="1454" t="s">
        <v>2657</v>
      </c>
      <c r="P154" s="1336"/>
      <c r="Q154" s="1336"/>
      <c r="R154" s="1336"/>
      <c r="S154" s="1336"/>
      <c r="T154" s="1336"/>
      <c r="U154" s="1336"/>
      <c r="V154" s="1336"/>
      <c r="W154" s="1336"/>
      <c r="X154" s="1336"/>
      <c r="Y154" s="1336"/>
      <c r="Z154" s="1336"/>
      <c r="AA154" s="1336"/>
      <c r="AB154" s="1336"/>
      <c r="AC154" s="1336"/>
      <c r="AD154" s="1336"/>
      <c r="AE154" s="1336"/>
      <c r="AF154" s="1336"/>
      <c r="AG154" s="1336"/>
      <c r="AH154" s="1336"/>
      <c r="BM154">
        <v>6</v>
      </c>
      <c r="BN154" s="3" t="s">
        <v>2395</v>
      </c>
      <c r="CR154" s="31"/>
      <c r="CS154" s="32"/>
      <c r="CT154" s="32"/>
      <c r="CU154" s="32"/>
      <c r="CV154" s="32"/>
      <c r="CW154" s="32"/>
      <c r="CX154" s="14"/>
      <c r="CY154" s="31"/>
      <c r="CZ154" s="14"/>
      <c r="DA154" s="14"/>
      <c r="DB154" s="14"/>
      <c r="DC154" s="14"/>
      <c r="DD154" s="14"/>
    </row>
    <row r="155" spans="1:108" ht="12.95" customHeight="1">
      <c r="D155" s="8" t="s">
        <v>439</v>
      </c>
      <c r="F155" s="8"/>
      <c r="G155" s="8"/>
      <c r="H155" s="8"/>
      <c r="I155" s="8"/>
      <c r="J155" s="8"/>
      <c r="K155" s="8"/>
      <c r="L155" s="8"/>
      <c r="M155" s="8"/>
      <c r="N155" s="8"/>
      <c r="O155" s="1453" t="s">
        <v>438</v>
      </c>
      <c r="P155" s="1453"/>
      <c r="Q155" s="1453"/>
      <c r="R155" s="1453"/>
      <c r="S155" s="1453"/>
      <c r="T155" s="1453"/>
      <c r="U155" s="1453"/>
      <c r="V155" s="1453"/>
      <c r="W155" s="1453"/>
      <c r="X155" s="1453"/>
      <c r="Y155" s="1453"/>
      <c r="Z155" s="1453"/>
      <c r="AA155" s="1453"/>
      <c r="AB155" s="1453"/>
      <c r="AC155" s="1453"/>
      <c r="AD155" s="1453"/>
      <c r="AE155" s="1453"/>
      <c r="AF155" s="1453"/>
      <c r="AG155" s="1453"/>
      <c r="AH155" s="1453"/>
      <c r="BM155">
        <v>7</v>
      </c>
      <c r="BN155" s="3" t="s">
        <v>589</v>
      </c>
      <c r="CR155" s="31"/>
      <c r="CS155" s="32"/>
      <c r="CT155" s="32"/>
      <c r="CU155" s="32"/>
      <c r="CV155" s="32"/>
      <c r="CW155" s="32"/>
      <c r="CX155" s="14"/>
      <c r="CY155" s="31"/>
      <c r="CZ155" s="14"/>
      <c r="DA155" s="14"/>
      <c r="DB155" s="14"/>
      <c r="DC155" s="14"/>
      <c r="DD155" s="14"/>
    </row>
    <row r="156" spans="1:108" ht="12.95" customHeight="1">
      <c r="D156" t="s">
        <v>312</v>
      </c>
      <c r="O156" s="1348" t="s">
        <v>2658</v>
      </c>
      <c r="P156" s="1348"/>
      <c r="Q156" s="1348"/>
      <c r="R156" s="1348"/>
      <c r="S156" s="1348"/>
      <c r="T156" s="1348"/>
      <c r="U156" s="1348"/>
      <c r="V156" s="1348"/>
      <c r="W156" s="1348"/>
      <c r="X156" s="1348"/>
      <c r="Y156" s="1348"/>
      <c r="Z156" s="1348"/>
      <c r="AA156" s="1348"/>
      <c r="AB156" s="1348"/>
      <c r="AC156" s="1348"/>
      <c r="AD156" s="1348"/>
      <c r="AE156" s="1348"/>
      <c r="AF156" s="1348"/>
      <c r="AG156" s="1348"/>
      <c r="AH156" s="1348"/>
      <c r="BT156" t="s">
        <v>306</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35" t="s">
        <v>2652</v>
      </c>
      <c r="P157" s="1438"/>
      <c r="Q157" s="1438"/>
      <c r="R157" s="1438"/>
      <c r="S157" s="1438"/>
      <c r="T157" s="1438"/>
      <c r="U157" s="1438"/>
      <c r="V157" s="1438"/>
      <c r="W157" s="1438"/>
      <c r="X157" s="1438"/>
      <c r="Y157" s="8"/>
      <c r="Z157" s="8"/>
      <c r="AA157" s="8"/>
      <c r="AB157" s="8"/>
      <c r="AC157" s="8"/>
      <c r="AD157" s="8"/>
      <c r="AE157" s="8"/>
      <c r="AF157" s="8"/>
      <c r="BN157" s="23" t="s">
        <v>634</v>
      </c>
      <c r="BS157">
        <v>2</v>
      </c>
      <c r="BT157" t="s">
        <v>474</v>
      </c>
      <c r="CB157" s="286" t="s">
        <v>645</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483">
        <v>92201</v>
      </c>
      <c r="P158" s="1483"/>
      <c r="Q158" s="1483"/>
      <c r="R158" s="1483"/>
      <c r="S158" s="9"/>
      <c r="T158" s="9"/>
      <c r="U158" s="9"/>
      <c r="V158" s="9"/>
      <c r="W158" s="9"/>
      <c r="X158" s="9"/>
      <c r="Y158" s="9"/>
      <c r="Z158" s="9"/>
      <c r="AA158" s="9"/>
      <c r="AB158" s="9"/>
      <c r="AC158" s="9"/>
      <c r="AD158" s="9"/>
      <c r="AE158" s="9"/>
      <c r="AF158" s="9"/>
      <c r="BN158" s="23" t="s">
        <v>635</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487">
        <v>7603914015</v>
      </c>
      <c r="P159" s="1487"/>
      <c r="Q159" s="1487"/>
      <c r="R159" s="1487"/>
      <c r="S159" s="1487"/>
      <c r="T159" s="1487"/>
      <c r="V159" s="97" t="s">
        <v>270</v>
      </c>
      <c r="W159" s="1484"/>
      <c r="X159" s="1484"/>
      <c r="Y159" s="10"/>
      <c r="Z159" s="10"/>
      <c r="AA159" s="10"/>
      <c r="AB159" s="10"/>
      <c r="AC159" s="10"/>
      <c r="AD159" s="10"/>
      <c r="AE159" s="10"/>
      <c r="AF159" s="10"/>
      <c r="BN159" s="23" t="s">
        <v>337</v>
      </c>
      <c r="BS159">
        <v>7</v>
      </c>
      <c r="BT159" t="s">
        <v>476</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458</v>
      </c>
      <c r="CX159" s="14"/>
      <c r="CY159" s="14"/>
      <c r="CZ159" s="71" t="s">
        <v>631</v>
      </c>
      <c r="DA159" s="72" t="s">
        <v>324</v>
      </c>
      <c r="DB159" s="72" t="s">
        <v>163</v>
      </c>
      <c r="DC159" s="72" t="s">
        <v>164</v>
      </c>
      <c r="DD159" s="72" t="s">
        <v>458</v>
      </c>
    </row>
    <row r="160" spans="1:108" ht="12.95" customHeight="1">
      <c r="D160" t="s">
        <v>316</v>
      </c>
      <c r="O160" s="1487"/>
      <c r="P160" s="1487"/>
      <c r="Q160" s="1487"/>
      <c r="R160" s="1487"/>
      <c r="S160" s="1487"/>
      <c r="T160" s="1487"/>
      <c r="U160" s="10"/>
      <c r="V160" s="10"/>
      <c r="W160" s="10"/>
      <c r="X160" s="10"/>
      <c r="Y160" s="10"/>
      <c r="Z160" s="10"/>
      <c r="AA160" s="10"/>
      <c r="AB160" s="10"/>
      <c r="AC160" s="10"/>
      <c r="AD160" s="10"/>
      <c r="AE160" s="10"/>
      <c r="AF160" s="10"/>
      <c r="BN160" s="23" t="s">
        <v>658</v>
      </c>
      <c r="BS160">
        <v>6</v>
      </c>
      <c r="BT160" t="s">
        <v>477</v>
      </c>
      <c r="CB160" s="349" t="s">
        <v>474</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2.95" customHeight="1">
      <c r="D161" t="s">
        <v>317</v>
      </c>
      <c r="O161" s="1464" t="s">
        <v>2659</v>
      </c>
      <c r="P161" s="1464"/>
      <c r="Q161" s="1464"/>
      <c r="R161" s="1464"/>
      <c r="S161" s="1464"/>
      <c r="T161" s="1464"/>
      <c r="U161" s="1464"/>
      <c r="V161" s="1464"/>
      <c r="W161" s="1464"/>
      <c r="X161" s="1464"/>
      <c r="Y161" s="1464"/>
      <c r="Z161" s="1464"/>
      <c r="AA161" s="1464"/>
      <c r="AB161" s="1464"/>
      <c r="AC161" s="1464"/>
      <c r="AD161" s="1464"/>
      <c r="AE161" s="1464"/>
      <c r="AF161" s="1464"/>
      <c r="AG161" s="1464"/>
      <c r="AH161" s="1464"/>
      <c r="BJ161" t="s">
        <v>667</v>
      </c>
      <c r="BN161" s="23" t="s">
        <v>659</v>
      </c>
      <c r="BS161">
        <v>7</v>
      </c>
      <c r="BT161" t="s">
        <v>478</v>
      </c>
      <c r="CB161" s="350" t="s">
        <v>475</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50" t="s">
        <v>476</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337</v>
      </c>
      <c r="CS162" s="323">
        <v>402640</v>
      </c>
      <c r="CT162" s="323">
        <v>464240</v>
      </c>
      <c r="CU162" s="323">
        <v>560000</v>
      </c>
      <c r="CV162" s="323">
        <v>716800</v>
      </c>
      <c r="CW162" s="323">
        <v>798560</v>
      </c>
      <c r="CX162" s="14"/>
      <c r="CY162" s="23" t="s">
        <v>337</v>
      </c>
      <c r="CZ162" s="323">
        <v>402640</v>
      </c>
      <c r="DA162" s="323">
        <v>464240</v>
      </c>
      <c r="DB162" s="323">
        <v>560000</v>
      </c>
      <c r="DC162" s="323">
        <v>716800</v>
      </c>
      <c r="DD162" s="323">
        <v>798560</v>
      </c>
    </row>
    <row r="163" spans="1:108" ht="12.95"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50" t="s">
        <v>477</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2.95" customHeight="1">
      <c r="C164" s="27"/>
      <c r="D164" s="1474" t="s">
        <v>2168</v>
      </c>
      <c r="E164" s="1474"/>
      <c r="F164" s="1474"/>
      <c r="G164" s="1474"/>
      <c r="H164" s="1474"/>
      <c r="I164" s="1474"/>
      <c r="J164" s="1474"/>
      <c r="K164" s="1474"/>
      <c r="L164" s="1474"/>
      <c r="M164" s="1474"/>
      <c r="N164" s="1474"/>
      <c r="O164" s="1474"/>
      <c r="P164" s="1474"/>
      <c r="Q164" s="1474"/>
      <c r="R164" s="1474"/>
      <c r="S164" s="1474"/>
      <c r="T164" s="1474"/>
      <c r="U164" s="1474"/>
      <c r="V164" s="1474"/>
      <c r="W164" s="1474"/>
      <c r="X164" s="1474"/>
      <c r="Y164" s="1474"/>
      <c r="Z164" s="1474"/>
      <c r="AA164" s="1474"/>
      <c r="AB164" s="1474"/>
      <c r="AC164" s="1474"/>
      <c r="AD164" s="1474"/>
      <c r="AE164" s="1474"/>
      <c r="AF164" s="1474"/>
      <c r="AG164" s="1474"/>
      <c r="AH164" s="1474"/>
      <c r="BN164" s="23" t="s">
        <v>662</v>
      </c>
      <c r="BS164">
        <v>7</v>
      </c>
      <c r="BT164" t="s">
        <v>481</v>
      </c>
      <c r="CB164" s="350" t="s">
        <v>478</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50" t="s">
        <v>479</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50" t="s">
        <v>480</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50" t="s">
        <v>481</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50" t="s">
        <v>482</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2.95" customHeight="1">
      <c r="A169" s="1456" t="s">
        <v>537</v>
      </c>
      <c r="B169" s="1456"/>
      <c r="C169" s="1456"/>
      <c r="D169" s="1456"/>
      <c r="E169" s="1456"/>
      <c r="F169" s="1456"/>
      <c r="G169" s="1456"/>
      <c r="H169" s="1456"/>
      <c r="I169" s="1456"/>
      <c r="J169" s="1456"/>
      <c r="K169" s="1456"/>
      <c r="L169" s="1456"/>
      <c r="M169" s="1456"/>
      <c r="N169" s="1456"/>
      <c r="O169" s="1456"/>
      <c r="P169" s="1456"/>
      <c r="Q169" s="1456"/>
      <c r="R169" s="1456"/>
      <c r="S169" s="1456"/>
      <c r="T169" s="1456"/>
      <c r="U169" s="1456"/>
      <c r="V169" s="1456"/>
      <c r="W169" s="1456"/>
      <c r="X169" s="1456"/>
      <c r="Y169" s="1456"/>
      <c r="Z169" s="1456"/>
      <c r="AA169" s="1456"/>
      <c r="AB169" s="1456"/>
      <c r="AC169" s="1456"/>
      <c r="AD169" s="1456"/>
      <c r="AE169" s="1456"/>
      <c r="AF169" s="1456"/>
      <c r="AG169" s="1456"/>
      <c r="AH169" s="1456"/>
      <c r="AI169" s="1456"/>
      <c r="AJ169" s="1456"/>
      <c r="AK169" s="1456"/>
      <c r="AL169" s="1456"/>
      <c r="AM169" s="1456"/>
      <c r="AN169" s="1456"/>
      <c r="AO169" s="1456"/>
      <c r="AP169" s="1456"/>
      <c r="AQ169" s="1456"/>
      <c r="AR169" s="1456"/>
      <c r="AS169" s="1456"/>
      <c r="AT169" s="1456"/>
      <c r="AU169" s="95"/>
      <c r="AV169" s="95"/>
      <c r="AW169" s="95"/>
      <c r="AX169" s="95"/>
      <c r="AY169" s="95"/>
      <c r="BN169" s="23" t="s">
        <v>671</v>
      </c>
      <c r="BS169">
        <v>5</v>
      </c>
      <c r="BT169" t="s">
        <v>486</v>
      </c>
      <c r="CB169" s="350" t="s">
        <v>483</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2.95" customHeight="1">
      <c r="A170" s="1456"/>
      <c r="B170" s="1456"/>
      <c r="C170" s="1456"/>
      <c r="D170" s="1456"/>
      <c r="E170" s="1456"/>
      <c r="F170" s="1456"/>
      <c r="G170" s="1456"/>
      <c r="H170" s="1456"/>
      <c r="I170" s="1456"/>
      <c r="J170" s="1456"/>
      <c r="K170" s="1456"/>
      <c r="L170" s="1456"/>
      <c r="M170" s="1456"/>
      <c r="N170" s="1456"/>
      <c r="O170" s="1456"/>
      <c r="P170" s="1456"/>
      <c r="Q170" s="1456"/>
      <c r="R170" s="1456"/>
      <c r="S170" s="1456"/>
      <c r="T170" s="1456"/>
      <c r="U170" s="1456"/>
      <c r="V170" s="1456"/>
      <c r="W170" s="1456"/>
      <c r="X170" s="1456"/>
      <c r="Y170" s="1456"/>
      <c r="Z170" s="1456"/>
      <c r="AA170" s="1456"/>
      <c r="AB170" s="1456"/>
      <c r="AC170" s="1456"/>
      <c r="AD170" s="1456"/>
      <c r="AE170" s="1456"/>
      <c r="AF170" s="1456"/>
      <c r="AG170" s="1456"/>
      <c r="AH170" s="1456"/>
      <c r="AI170" s="1456"/>
      <c r="AJ170" s="1456"/>
      <c r="AK170" s="1456"/>
      <c r="AL170" s="1456"/>
      <c r="AM170" s="1456"/>
      <c r="AN170" s="1456"/>
      <c r="AO170" s="1456"/>
      <c r="AP170" s="1456"/>
      <c r="AQ170" s="1456"/>
      <c r="AR170" s="1456"/>
      <c r="AS170" s="1456"/>
      <c r="AT170" s="1456"/>
      <c r="AU170" s="95"/>
      <c r="AV170" s="95"/>
      <c r="AW170" s="95"/>
      <c r="AX170" s="95"/>
      <c r="AY170" s="95"/>
      <c r="BN170" s="23" t="s">
        <v>672</v>
      </c>
      <c r="BS170">
        <v>7</v>
      </c>
      <c r="BT170" t="s">
        <v>487</v>
      </c>
      <c r="CB170" s="350" t="s">
        <v>484</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2.95" customHeight="1">
      <c r="BN171" s="23" t="s">
        <v>210</v>
      </c>
      <c r="BS171">
        <v>5</v>
      </c>
      <c r="BT171" t="s">
        <v>488</v>
      </c>
      <c r="CB171" s="350" t="s">
        <v>485</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2.95" customHeight="1">
      <c r="A172" s="2" t="s">
        <v>318</v>
      </c>
      <c r="C172" s="2" t="s">
        <v>319</v>
      </c>
      <c r="BN172" s="23" t="s">
        <v>212</v>
      </c>
      <c r="BS172">
        <v>5</v>
      </c>
      <c r="BT172" t="s">
        <v>489</v>
      </c>
      <c r="CB172" s="350" t="s">
        <v>486</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2.95" customHeight="1">
      <c r="C173" s="24"/>
      <c r="D173" t="s">
        <v>320</v>
      </c>
      <c r="J173" s="1452" t="s">
        <v>369</v>
      </c>
      <c r="K173" s="1452"/>
      <c r="L173" s="1452"/>
      <c r="M173" s="1452"/>
      <c r="N173" s="1452"/>
      <c r="O173" s="1452"/>
      <c r="P173" s="1452"/>
      <c r="Q173" s="1452"/>
      <c r="R173" s="1452"/>
      <c r="S173" s="1452"/>
      <c r="U173" s="25"/>
      <c r="X173" s="25"/>
      <c r="BB173" s="3" t="s">
        <v>306</v>
      </c>
      <c r="BN173" s="23" t="s">
        <v>213</v>
      </c>
      <c r="BS173">
        <v>7</v>
      </c>
      <c r="BT173" t="s">
        <v>490</v>
      </c>
      <c r="CB173" s="350" t="s">
        <v>487</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2.95" customHeight="1">
      <c r="C174" s="24"/>
      <c r="D174" s="3" t="s">
        <v>1200</v>
      </c>
      <c r="J174" s="1348" t="s">
        <v>2054</v>
      </c>
      <c r="K174" s="1348"/>
      <c r="L174" s="1348"/>
      <c r="M174" s="1348"/>
      <c r="N174" s="1348"/>
      <c r="O174" s="1348"/>
      <c r="P174" s="1348"/>
      <c r="Q174" s="1348"/>
      <c r="R174" s="1348"/>
      <c r="S174" s="1348"/>
      <c r="T174" s="1348"/>
      <c r="U174" s="1348"/>
      <c r="V174" s="1348"/>
      <c r="W174" s="1348"/>
      <c r="X174" s="1348"/>
      <c r="Y174" s="1348"/>
      <c r="Z174" s="1348"/>
      <c r="AA174" s="1348"/>
      <c r="AB174" s="1348"/>
      <c r="BB174" t="s">
        <v>1940</v>
      </c>
      <c r="BN174" s="23" t="s">
        <v>215</v>
      </c>
      <c r="BS174">
        <v>7</v>
      </c>
      <c r="BT174" t="s">
        <v>491</v>
      </c>
      <c r="CB174" s="350" t="s">
        <v>488</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06" t="s">
        <v>667</v>
      </c>
      <c r="V175" s="1306"/>
      <c r="BB175" t="s">
        <v>1908</v>
      </c>
      <c r="BN175" s="23" t="s">
        <v>216</v>
      </c>
      <c r="BS175">
        <v>1</v>
      </c>
      <c r="BT175" t="s">
        <v>492</v>
      </c>
      <c r="CB175" s="350" t="s">
        <v>489</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2033</v>
      </c>
      <c r="T176" s="27" t="s">
        <v>304</v>
      </c>
      <c r="U176" s="1477"/>
      <c r="V176" s="1477"/>
      <c r="W176" s="1" t="s">
        <v>305</v>
      </c>
      <c r="X176" s="1490"/>
      <c r="Y176" s="1490"/>
      <c r="BB176" t="s">
        <v>1941</v>
      </c>
      <c r="BN176" s="23" t="s">
        <v>218</v>
      </c>
      <c r="BS176">
        <v>5</v>
      </c>
      <c r="BT176" t="s">
        <v>493</v>
      </c>
      <c r="CB176" s="350" t="s">
        <v>490</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06" t="s">
        <v>667</v>
      </c>
      <c r="S177" s="1306"/>
      <c r="BB177" t="s">
        <v>2165</v>
      </c>
      <c r="BN177" s="23" t="s">
        <v>219</v>
      </c>
      <c r="BS177">
        <v>2</v>
      </c>
      <c r="BT177" t="s">
        <v>494</v>
      </c>
      <c r="CB177" s="350" t="s">
        <v>491</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1201</v>
      </c>
      <c r="AA178" t="s">
        <v>2033</v>
      </c>
      <c r="AE178" s="27" t="s">
        <v>304</v>
      </c>
      <c r="AF178" s="1489"/>
      <c r="AG178" s="1489"/>
      <c r="AH178" s="1" t="s">
        <v>305</v>
      </c>
      <c r="AI178" s="1445"/>
      <c r="AJ178" s="1445"/>
      <c r="AK178" s="1445"/>
      <c r="BB178" t="s">
        <v>2166</v>
      </c>
      <c r="BN178" s="23" t="s">
        <v>220</v>
      </c>
      <c r="BS178">
        <v>7</v>
      </c>
      <c r="BT178" t="s">
        <v>53</v>
      </c>
      <c r="CB178" s="350" t="s">
        <v>492</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493</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2628</v>
      </c>
      <c r="X180" s="1306" t="s">
        <v>667</v>
      </c>
      <c r="Y180" s="1306"/>
      <c r="BN180" s="23" t="s">
        <v>223</v>
      </c>
      <c r="BS180">
        <v>5</v>
      </c>
      <c r="BT180" t="s">
        <v>55</v>
      </c>
      <c r="CB180" s="350" t="s">
        <v>494</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574</v>
      </c>
      <c r="C183" s="2" t="s">
        <v>575</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576</v>
      </c>
      <c r="I184" s="1296" t="str">
        <f>H18</f>
        <v>Avenue 42 Apartments</v>
      </c>
      <c r="J184" s="1296"/>
      <c r="K184" s="1296"/>
      <c r="L184" s="1296"/>
      <c r="M184" s="1296"/>
      <c r="N184" s="1296"/>
      <c r="O184" s="1296"/>
      <c r="P184" s="1296"/>
      <c r="Q184" s="1296"/>
      <c r="R184" s="1296"/>
      <c r="S184" s="1296"/>
      <c r="T184" s="1296"/>
      <c r="U184" s="1296"/>
      <c r="V184" s="1296"/>
      <c r="W184" s="1296"/>
      <c r="X184" s="1296"/>
      <c r="Y184" s="1296"/>
      <c r="Z184" s="1296"/>
      <c r="AA184" s="1296"/>
      <c r="AB184" s="1296"/>
      <c r="AC184" s="1296"/>
      <c r="AD184" s="1296"/>
      <c r="AE184" s="1296"/>
      <c r="BC184" t="s">
        <v>585</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577</v>
      </c>
      <c r="I185" s="1454" t="s">
        <v>2651</v>
      </c>
      <c r="J185" s="1335"/>
      <c r="K185" s="1335"/>
      <c r="L185" s="1335"/>
      <c r="M185" s="1335"/>
      <c r="N185" s="1335"/>
      <c r="O185" s="1335"/>
      <c r="P185" s="1335"/>
      <c r="Q185" s="1335"/>
      <c r="R185" s="1335"/>
      <c r="S185" s="1335"/>
      <c r="T185" s="1335"/>
      <c r="U185" s="1335"/>
      <c r="V185" s="1335"/>
      <c r="W185" s="1335"/>
      <c r="X185" s="1335"/>
      <c r="Y185" s="1335"/>
      <c r="Z185" s="1335"/>
      <c r="AA185" s="1335"/>
      <c r="AB185" s="1335"/>
      <c r="AC185" s="1335"/>
      <c r="AD185" s="1335"/>
      <c r="AE185" s="1335"/>
      <c r="BC185" t="s">
        <v>586</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448" t="s">
        <v>2766</v>
      </c>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578</v>
      </c>
      <c r="I189" s="1435" t="s">
        <v>2652</v>
      </c>
      <c r="J189" s="1348"/>
      <c r="K189" s="1348"/>
      <c r="L189" s="1348"/>
      <c r="M189" s="1348"/>
      <c r="N189" s="1348"/>
      <c r="O189" s="1348"/>
      <c r="P189" s="1348"/>
      <c r="Q189" t="s">
        <v>580</v>
      </c>
      <c r="T189" s="1348" t="s">
        <v>67</v>
      </c>
      <c r="U189" s="1348"/>
      <c r="V189" s="1348"/>
      <c r="W189" s="1348"/>
      <c r="X189" s="1348"/>
      <c r="Y189" s="1348"/>
      <c r="Z189" s="1348"/>
      <c r="AA189" s="1348"/>
      <c r="AB189" s="1348"/>
      <c r="AC189" s="1348"/>
      <c r="AD189" s="1348"/>
      <c r="AE189" s="1348"/>
      <c r="BC189" t="s">
        <v>306</v>
      </c>
      <c r="BH189" s="3" t="s">
        <v>589</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581</v>
      </c>
      <c r="I190" s="1335">
        <v>92203</v>
      </c>
      <c r="J190" s="1335"/>
      <c r="K190" s="1335"/>
      <c r="L190" s="1335"/>
      <c r="M190" s="1335"/>
      <c r="N190" s="1335"/>
      <c r="O190" t="s">
        <v>583</v>
      </c>
      <c r="T190" s="1481">
        <v>452.14</v>
      </c>
      <c r="U190" s="1481"/>
      <c r="V190" s="1481"/>
      <c r="W190" s="1481"/>
      <c r="X190" s="1481"/>
      <c r="Y190" s="1481"/>
      <c r="Z190" s="1481"/>
      <c r="AA190" s="1481"/>
      <c r="AB190" s="1481"/>
      <c r="AC190" s="1481"/>
      <c r="AD190" s="1481"/>
      <c r="AE190" s="1481"/>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460</v>
      </c>
      <c r="N191" s="1448" t="s">
        <v>2731</v>
      </c>
      <c r="O191" s="1448"/>
      <c r="P191" s="1448"/>
      <c r="Q191" s="1448"/>
      <c r="R191" s="1448"/>
      <c r="S191" s="1448"/>
      <c r="T191" s="1448"/>
      <c r="U191" s="1448"/>
      <c r="V191" s="1448"/>
      <c r="W191" s="1448"/>
      <c r="X191" s="1448"/>
      <c r="Y191" s="1448"/>
      <c r="Z191" s="1448"/>
      <c r="AA191" s="1448"/>
      <c r="AB191" s="1448"/>
      <c r="AC191" s="1448"/>
      <c r="AD191" s="1448"/>
      <c r="AE191" s="1448"/>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2034</v>
      </c>
      <c r="M193" s="40"/>
      <c r="N193" s="890"/>
      <c r="O193" s="890"/>
      <c r="P193" s="890"/>
      <c r="Q193" s="890"/>
      <c r="R193" s="890"/>
      <c r="S193" s="890"/>
      <c r="T193" s="1485" t="s">
        <v>1940</v>
      </c>
      <c r="U193" s="1485"/>
      <c r="V193" s="1485"/>
      <c r="W193" s="1485"/>
      <c r="X193" s="1485"/>
      <c r="Y193" s="1485"/>
      <c r="Z193" s="1485"/>
      <c r="AA193" s="1485"/>
      <c r="AB193" s="1485"/>
      <c r="AC193" s="1485"/>
      <c r="AD193" s="1485"/>
      <c r="AE193" s="1485"/>
      <c r="AF193" s="1485"/>
      <c r="AG193" s="1485"/>
      <c r="AH193" s="1485"/>
      <c r="AI193" s="1485"/>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2.95" customHeight="1">
      <c r="C194" s="21"/>
      <c r="D194" s="3" t="s">
        <v>2167</v>
      </c>
      <c r="M194" s="40"/>
      <c r="N194" s="890"/>
      <c r="O194" s="890"/>
      <c r="P194" s="890"/>
      <c r="Q194" s="890"/>
      <c r="R194" s="890"/>
      <c r="S194" s="890"/>
      <c r="AH194" s="1306" t="s">
        <v>667</v>
      </c>
      <c r="AI194" s="1306"/>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2.95" customHeight="1">
      <c r="C195" s="21"/>
      <c r="D195" t="s">
        <v>330</v>
      </c>
      <c r="T195" s="1306" t="s">
        <v>543</v>
      </c>
      <c r="U195" s="1306"/>
      <c r="W195" t="s">
        <v>682</v>
      </c>
      <c r="AH195" s="1306">
        <v>25</v>
      </c>
      <c r="AI195" s="1306"/>
      <c r="BC195" t="s">
        <v>1829</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2.95" customHeight="1">
      <c r="C196" s="21"/>
      <c r="D196" t="s">
        <v>384</v>
      </c>
      <c r="T196" s="1318" t="s">
        <v>667</v>
      </c>
      <c r="U196" s="1318"/>
      <c r="W196" t="s">
        <v>683</v>
      </c>
      <c r="AH196" s="1306">
        <v>36</v>
      </c>
      <c r="AI196" s="1306"/>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2.95" customHeight="1">
      <c r="C197" s="21"/>
      <c r="D197" s="3" t="s">
        <v>168</v>
      </c>
      <c r="T197" s="1318" t="s">
        <v>667</v>
      </c>
      <c r="U197" s="1318"/>
      <c r="W197" t="s">
        <v>684</v>
      </c>
      <c r="AH197" s="1306">
        <v>18</v>
      </c>
      <c r="AI197" s="1306"/>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18">
        <v>0</v>
      </c>
      <c r="U198" s="1318"/>
      <c r="V198"/>
      <c r="X198" s="1457" t="s">
        <v>2441</v>
      </c>
      <c r="Y198" s="1457"/>
      <c r="Z198" s="1457"/>
      <c r="AA198" s="1457"/>
      <c r="AB198" s="1457"/>
      <c r="AC198" s="1457"/>
      <c r="AD198" s="1457"/>
      <c r="AE198" s="1457"/>
      <c r="AF198" s="1457"/>
      <c r="AG198" s="1457"/>
      <c r="AH198" s="1457"/>
      <c r="AI198" s="1457"/>
      <c r="AJ198" s="1457"/>
      <c r="AK198" s="1457"/>
      <c r="AL198" s="1457"/>
      <c r="AM198" s="1457"/>
      <c r="AN198" s="1457"/>
      <c r="AO198" s="1457"/>
      <c r="AP198" s="1457"/>
      <c r="AQ198" s="1457"/>
      <c r="AR198" s="1457"/>
      <c r="AS198" s="1457"/>
      <c r="AT198" s="1457"/>
      <c r="AU198"/>
      <c r="AV198"/>
      <c r="AW198"/>
      <c r="AX198"/>
      <c r="AY198"/>
      <c r="AZ198" s="30"/>
      <c r="BA198" s="30"/>
      <c r="BC198" s="14" t="s">
        <v>589</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2444</v>
      </c>
      <c r="E199"/>
      <c r="F199"/>
      <c r="G199"/>
      <c r="H199"/>
      <c r="I199"/>
      <c r="J199"/>
      <c r="K199"/>
      <c r="L199"/>
      <c r="M199"/>
      <c r="N199"/>
      <c r="O199"/>
      <c r="P199"/>
      <c r="Q199"/>
      <c r="R199"/>
      <c r="S199"/>
      <c r="T199" s="1306" t="s">
        <v>667</v>
      </c>
      <c r="U199" s="1306"/>
      <c r="V199"/>
      <c r="W199"/>
      <c r="X199" s="1457"/>
      <c r="Y199" s="1457"/>
      <c r="Z199" s="1457"/>
      <c r="AA199" s="1457"/>
      <c r="AB199" s="1457"/>
      <c r="AC199" s="1457"/>
      <c r="AD199" s="1457"/>
      <c r="AE199" s="1457"/>
      <c r="AF199" s="1457"/>
      <c r="AG199" s="1457"/>
      <c r="AH199" s="1457"/>
      <c r="AI199" s="1457"/>
      <c r="AJ199" s="1457"/>
      <c r="AK199" s="1457"/>
      <c r="AL199" s="1457"/>
      <c r="AM199" s="1457"/>
      <c r="AN199" s="1457"/>
      <c r="AO199" s="1457"/>
      <c r="AP199" s="1457"/>
      <c r="AQ199" s="1457"/>
      <c r="AR199" s="1457"/>
      <c r="AS199" s="1457"/>
      <c r="AT199" s="1457"/>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2442</v>
      </c>
      <c r="T200" s="1306" t="s">
        <v>667</v>
      </c>
      <c r="U200" s="1306"/>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2443</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2.95" customHeight="1">
      <c r="C202" s="21"/>
      <c r="AE202" s="8"/>
      <c r="BC202" t="s">
        <v>609</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5" customHeight="1">
      <c r="A203" s="2" t="s">
        <v>584</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2.95" customHeight="1">
      <c r="D204" s="1296" t="s">
        <v>383</v>
      </c>
      <c r="E204" s="1296"/>
      <c r="F204" s="1296"/>
      <c r="G204" s="1296"/>
      <c r="H204" s="1296"/>
      <c r="I204" s="1296"/>
      <c r="J204" s="1296"/>
      <c r="K204" s="1296"/>
      <c r="L204" s="1296"/>
      <c r="M204" s="1296"/>
      <c r="P204" s="1475">
        <f>M26</f>
        <v>5428757</v>
      </c>
      <c r="Q204" s="1476"/>
      <c r="R204" s="1476"/>
      <c r="S204" s="1476"/>
      <c r="T204" s="1476"/>
      <c r="U204" s="1476"/>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2.95" customHeight="1">
      <c r="C205" s="21"/>
      <c r="D205" s="1459" t="s">
        <v>1245</v>
      </c>
      <c r="E205" s="1296"/>
      <c r="F205" s="1296"/>
      <c r="G205" s="1296"/>
      <c r="H205" s="1296"/>
      <c r="I205" s="1296"/>
      <c r="J205" s="1296"/>
      <c r="K205" s="1296"/>
      <c r="L205" s="1296"/>
      <c r="M205" s="1296"/>
      <c r="P205" s="1476">
        <f>M27</f>
        <v>13000000</v>
      </c>
      <c r="Q205" s="1476"/>
      <c r="R205" s="1476"/>
      <c r="S205" s="1476"/>
      <c r="T205" s="1476"/>
      <c r="U205" s="1476"/>
      <c r="V205" s="28"/>
      <c r="W205" s="3" t="s">
        <v>1707</v>
      </c>
      <c r="Z205" s="1455" t="s">
        <v>2171</v>
      </c>
      <c r="AA205" s="1455"/>
      <c r="AB205" s="1455"/>
      <c r="AC205" s="1455"/>
      <c r="AD205" s="1455"/>
      <c r="AE205" s="1455"/>
      <c r="AF205" s="1455"/>
      <c r="AG205" s="1455"/>
      <c r="AH205" s="1455"/>
      <c r="AI205" s="1455"/>
      <c r="AJ205" s="1455"/>
      <c r="AK205" s="1455"/>
      <c r="AL205" s="1455"/>
      <c r="AM205" s="1455"/>
      <c r="AN205" s="1455"/>
      <c r="AP205" s="1391"/>
      <c r="AQ205" s="1391"/>
      <c r="BC205" t="s">
        <v>608</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2.95" customHeight="1">
      <c r="A207" s="2" t="s">
        <v>587</v>
      </c>
      <c r="C207" s="2" t="s">
        <v>549</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2.95" customHeight="1">
      <c r="C208" s="21"/>
      <c r="D208" s="1438" t="s">
        <v>2660</v>
      </c>
      <c r="E208" s="1438"/>
      <c r="F208" s="1438"/>
      <c r="G208" s="1438"/>
      <c r="H208" s="1438"/>
      <c r="I208" s="1438"/>
      <c r="J208" s="1438"/>
      <c r="K208" s="1438"/>
      <c r="L208" s="1438"/>
      <c r="M208" s="1438"/>
      <c r="BC208" s="3" t="s">
        <v>2158</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588</v>
      </c>
      <c r="C210" s="2" t="s">
        <v>386</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38" t="s">
        <v>1039</v>
      </c>
      <c r="E211" s="1438"/>
      <c r="F211" s="1438"/>
      <c r="G211" s="1438"/>
      <c r="H211" s="1438"/>
      <c r="I211" s="1438"/>
      <c r="J211" s="1438"/>
      <c r="K211" s="1438"/>
      <c r="L211" s="1438"/>
      <c r="M211" s="1438"/>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2182</v>
      </c>
      <c r="Q212" s="1306"/>
      <c r="R212" s="1306"/>
      <c r="T212" s="1460">
        <f>IFERROR(Q212/AG449,0)</f>
        <v>0</v>
      </c>
      <c r="U212" s="1461"/>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2401</v>
      </c>
      <c r="BC213" t="s">
        <v>524</v>
      </c>
      <c r="BI213" s="3" t="s">
        <v>2179</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71" t="s">
        <v>589</v>
      </c>
      <c r="E214" s="1471"/>
      <c r="F214" s="1471"/>
      <c r="G214" s="1471"/>
      <c r="H214" s="1471"/>
      <c r="I214" s="1471"/>
      <c r="J214" s="1471"/>
      <c r="K214" s="1471"/>
      <c r="L214" s="1471"/>
      <c r="M214" s="1471"/>
      <c r="N214" s="1471"/>
      <c r="O214" s="1471"/>
      <c r="P214" s="1471"/>
      <c r="Q214" s="1471"/>
      <c r="R214" s="1471"/>
      <c r="S214" s="1471"/>
      <c r="T214" s="1471"/>
      <c r="U214" s="1471"/>
      <c r="V214" s="1471"/>
      <c r="W214" s="1471"/>
      <c r="X214" s="1471"/>
      <c r="Y214" s="1471"/>
      <c r="Z214" s="1471"/>
      <c r="AU214" s="21"/>
      <c r="AV214" s="21"/>
      <c r="AW214" s="21"/>
      <c r="AX214" s="21"/>
      <c r="AY214" s="21"/>
      <c r="BC214" t="s">
        <v>528</v>
      </c>
      <c r="BI214" s="3" t="s">
        <v>2172</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470"/>
      <c r="AC215" s="1470"/>
      <c r="AD215" s="1470"/>
      <c r="AE215" s="1470"/>
      <c r="AF215" s="1470"/>
      <c r="AG215" s="1470"/>
      <c r="AH215" s="1470"/>
      <c r="AI215" s="1470"/>
      <c r="AJ215" s="1470"/>
      <c r="AK215" s="1470"/>
      <c r="AL215" s="1470"/>
      <c r="AM215" s="21"/>
      <c r="AN215" s="21"/>
      <c r="AO215" s="21"/>
      <c r="AP215" s="21"/>
      <c r="AQ215" s="21"/>
      <c r="AR215" s="21"/>
      <c r="AS215" s="21"/>
      <c r="AT215" s="21"/>
      <c r="AU215" s="21"/>
      <c r="AV215" s="21"/>
      <c r="AW215" s="21"/>
      <c r="AX215" s="21"/>
      <c r="AY215" s="21"/>
      <c r="BC215" t="s">
        <v>525</v>
      </c>
      <c r="BI215" s="3" t="s">
        <v>2173</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470"/>
      <c r="AC216" s="1470"/>
      <c r="AD216" s="1470"/>
      <c r="AE216" s="1470"/>
      <c r="AF216" s="1470"/>
      <c r="AG216" s="1470"/>
      <c r="AH216" s="1470"/>
      <c r="AI216" s="1470"/>
      <c r="AJ216" s="1470"/>
      <c r="AK216" s="1470"/>
      <c r="AL216" s="1470"/>
      <c r="AM216" s="21"/>
      <c r="AN216" s="21"/>
      <c r="AO216" s="21"/>
      <c r="AP216" s="21"/>
      <c r="AQ216" s="21"/>
      <c r="AR216" s="21"/>
      <c r="AS216" s="21"/>
      <c r="AT216" s="21"/>
      <c r="AU216" s="21"/>
      <c r="AV216" s="21"/>
      <c r="AW216" s="21"/>
      <c r="AX216" s="21"/>
      <c r="AY216" s="21"/>
      <c r="BC216" t="s">
        <v>564</v>
      </c>
      <c r="BI216" t="s">
        <v>2171</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2175</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590</v>
      </c>
      <c r="C218" s="2" t="s">
        <v>2185</v>
      </c>
      <c r="D218" s="28"/>
      <c r="AC218" s="2" t="s">
        <v>2390</v>
      </c>
      <c r="BC218" t="s">
        <v>527</v>
      </c>
    </row>
    <row r="219" spans="1:108" ht="12.95" customHeight="1">
      <c r="A219" s="2"/>
      <c r="C219" s="2"/>
      <c r="D219" s="3" t="s">
        <v>2391</v>
      </c>
      <c r="AZ219" s="3"/>
      <c r="BA219" s="3"/>
      <c r="BC219" t="s">
        <v>375</v>
      </c>
    </row>
    <row r="220" spans="1:108" ht="12.95" customHeight="1">
      <c r="A220" s="2"/>
      <c r="C220" s="2"/>
      <c r="D220" s="1438" t="s">
        <v>1060</v>
      </c>
      <c r="E220" s="1438"/>
      <c r="F220" s="1438"/>
      <c r="G220" s="1438"/>
      <c r="H220" s="1438"/>
      <c r="I220" s="1438"/>
      <c r="J220" s="1438"/>
      <c r="K220" s="1438"/>
      <c r="L220" s="1438"/>
      <c r="M220" s="1438"/>
      <c r="N220" s="1438"/>
      <c r="O220" s="1438"/>
      <c r="P220" s="1438"/>
      <c r="Q220" s="1438"/>
      <c r="R220" s="1438"/>
      <c r="S220" s="1438"/>
      <c r="T220" s="1438"/>
      <c r="U220" s="1438"/>
      <c r="V220" s="1438"/>
      <c r="W220" s="1438"/>
      <c r="X220" s="1438"/>
      <c r="Y220" s="1438"/>
      <c r="Z220" s="1438"/>
      <c r="AC220" s="1458" t="s">
        <v>2394</v>
      </c>
      <c r="AD220" s="1458"/>
      <c r="AE220" s="1458"/>
      <c r="AF220" s="1458"/>
      <c r="AG220" s="1458"/>
      <c r="AH220" s="1458"/>
      <c r="AI220" s="1458"/>
      <c r="AJ220" s="1458"/>
      <c r="AK220" s="1458"/>
      <c r="AL220" s="1458"/>
      <c r="AM220" s="1458"/>
      <c r="AN220" s="1458"/>
      <c r="AO220" s="1458"/>
      <c r="AP220" s="1458"/>
      <c r="AQ220" s="1458"/>
      <c r="BA220" s="3"/>
      <c r="BC220" t="s">
        <v>299</v>
      </c>
    </row>
    <row r="221" spans="1:108" ht="12.95" customHeight="1">
      <c r="A221" s="2"/>
      <c r="B221" s="14"/>
      <c r="C221" s="2"/>
      <c r="BA221" s="3"/>
    </row>
    <row r="222" spans="1:108" ht="12.95" customHeight="1">
      <c r="A222" s="2" t="s">
        <v>2536</v>
      </c>
      <c r="B222" s="14"/>
      <c r="C222" s="2" t="s">
        <v>2537</v>
      </c>
      <c r="BA222" s="3"/>
    </row>
    <row r="223" spans="1:108" ht="12.95" customHeight="1">
      <c r="A223" s="2"/>
      <c r="B223" s="14"/>
      <c r="C223" s="2"/>
      <c r="D223" s="3" t="s">
        <v>2538</v>
      </c>
      <c r="BA223" s="3"/>
    </row>
    <row r="224" spans="1:108" ht="12.95" customHeight="1">
      <c r="A224" s="2"/>
      <c r="B224" s="14"/>
      <c r="C224" s="2"/>
      <c r="E224" s="3" t="s">
        <v>2539</v>
      </c>
      <c r="V224" s="1306" t="s">
        <v>667</v>
      </c>
      <c r="W224" s="1306"/>
      <c r="Y224" s="1193"/>
      <c r="BA224" s="3"/>
    </row>
    <row r="225" spans="1:69" ht="12.95" customHeight="1">
      <c r="A225" s="2"/>
      <c r="B225" s="14"/>
      <c r="C225" s="2"/>
      <c r="E225" s="3" t="s">
        <v>2540</v>
      </c>
      <c r="V225" s="1306" t="s">
        <v>667</v>
      </c>
      <c r="W225" s="130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2541</v>
      </c>
      <c r="V226" s="1318" t="s">
        <v>667</v>
      </c>
      <c r="W226" s="1318"/>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2542</v>
      </c>
      <c r="V227" s="1318" t="s">
        <v>667</v>
      </c>
      <c r="W227" s="1318"/>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2543</v>
      </c>
      <c r="V228" s="1318" t="s">
        <v>667</v>
      </c>
      <c r="W228" s="1318"/>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2544</v>
      </c>
      <c r="V229" s="1318" t="s">
        <v>667</v>
      </c>
      <c r="W229" s="1318"/>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56" t="s">
        <v>538</v>
      </c>
      <c r="B231" s="1456"/>
      <c r="C231" s="1456"/>
      <c r="D231" s="1456"/>
      <c r="E231" s="1456"/>
      <c r="F231" s="1456"/>
      <c r="G231" s="1456"/>
      <c r="H231" s="1456"/>
      <c r="I231" s="1456"/>
      <c r="J231" s="1456"/>
      <c r="K231" s="1456"/>
      <c r="L231" s="1456"/>
      <c r="M231" s="1456"/>
      <c r="N231" s="1456"/>
      <c r="O231" s="1456"/>
      <c r="P231" s="1456"/>
      <c r="Q231" s="1456"/>
      <c r="R231" s="1456"/>
      <c r="S231" s="1456"/>
      <c r="T231" s="1456"/>
      <c r="U231" s="1456"/>
      <c r="V231" s="1456"/>
      <c r="W231" s="1456"/>
      <c r="X231" s="1456"/>
      <c r="Y231" s="1456"/>
      <c r="Z231" s="1456"/>
      <c r="AA231" s="1456"/>
      <c r="AB231" s="1456"/>
      <c r="AC231" s="1456"/>
      <c r="AD231" s="1456"/>
      <c r="AE231" s="1456"/>
      <c r="AF231" s="1456"/>
      <c r="AG231" s="1456"/>
      <c r="AH231" s="1456"/>
      <c r="AI231" s="1456"/>
      <c r="AJ231" s="1456"/>
      <c r="AK231" s="1456"/>
      <c r="AL231" s="1456"/>
      <c r="AM231" s="1456"/>
      <c r="AN231" s="1456"/>
      <c r="AO231" s="1456"/>
      <c r="AP231" s="1456"/>
      <c r="AQ231" s="1456"/>
      <c r="AR231" s="1456"/>
      <c r="AS231" s="1456"/>
      <c r="AT231" s="1456"/>
      <c r="AU231" s="95"/>
      <c r="AV231" s="95"/>
      <c r="AW231" s="95"/>
      <c r="AX231" s="95"/>
      <c r="AY231" s="95"/>
      <c r="AZ231" s="3"/>
      <c r="BA231" s="3"/>
      <c r="BP231" s="34"/>
    </row>
    <row r="232" spans="1:69" ht="12.95" customHeight="1">
      <c r="A232" s="1456"/>
      <c r="B232" s="1456"/>
      <c r="C232" s="1456"/>
      <c r="D232" s="1456"/>
      <c r="E232" s="1456"/>
      <c r="F232" s="1456"/>
      <c r="G232" s="1456"/>
      <c r="H232" s="1456"/>
      <c r="I232" s="1456"/>
      <c r="J232" s="1456"/>
      <c r="K232" s="1456"/>
      <c r="L232" s="1456"/>
      <c r="M232" s="1456"/>
      <c r="N232" s="1456"/>
      <c r="O232" s="1456"/>
      <c r="P232" s="1456"/>
      <c r="Q232" s="1456"/>
      <c r="R232" s="1456"/>
      <c r="S232" s="1456"/>
      <c r="T232" s="1456"/>
      <c r="U232" s="1456"/>
      <c r="V232" s="1456"/>
      <c r="W232" s="1456"/>
      <c r="X232" s="1456"/>
      <c r="Y232" s="1456"/>
      <c r="Z232" s="1456"/>
      <c r="AA232" s="1456"/>
      <c r="AB232" s="1456"/>
      <c r="AC232" s="1456"/>
      <c r="AD232" s="1456"/>
      <c r="AE232" s="1456"/>
      <c r="AF232" s="1456"/>
      <c r="AG232" s="1456"/>
      <c r="AH232" s="1456"/>
      <c r="AI232" s="1456"/>
      <c r="AJ232" s="1456"/>
      <c r="AK232" s="1456"/>
      <c r="AL232" s="1456"/>
      <c r="AM232" s="1456"/>
      <c r="AN232" s="1456"/>
      <c r="AO232" s="1456"/>
      <c r="AP232" s="1456"/>
      <c r="AQ232" s="1456"/>
      <c r="AR232" s="1456"/>
      <c r="AS232" s="1456"/>
      <c r="AT232" s="1456"/>
      <c r="BA232" s="3"/>
      <c r="BB232" s="3"/>
      <c r="BQ232" s="34"/>
    </row>
    <row r="233" spans="1:69" ht="12.95" customHeight="1">
      <c r="AZ233" s="4"/>
      <c r="BA233" s="3"/>
      <c r="BB233" s="3"/>
      <c r="BQ233" s="34"/>
    </row>
    <row r="234" spans="1:69" ht="12.95" customHeight="1">
      <c r="A234" s="2" t="s">
        <v>318</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605</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06" t="s">
        <v>589</v>
      </c>
      <c r="AJ235" s="1306"/>
      <c r="AL235" s="3"/>
      <c r="AM235" s="3"/>
      <c r="AN235" s="3"/>
      <c r="AO235" s="3"/>
      <c r="AP235" s="3"/>
      <c r="AQ235" s="3"/>
      <c r="AR235" s="3"/>
      <c r="AS235" s="3"/>
      <c r="AT235" s="3"/>
      <c r="AU235" s="3"/>
      <c r="AV235" s="3"/>
      <c r="AW235" s="3"/>
      <c r="AX235" s="3"/>
      <c r="AY235" s="3"/>
      <c r="AZ235" s="4"/>
      <c r="BB235" s="204" t="s">
        <v>536</v>
      </c>
      <c r="BG235" s="241">
        <f>IF(AND(AND($M$258="for profit",$M$266="for profit",$M$274="nonprofit")),2,0)</f>
        <v>0</v>
      </c>
    </row>
    <row r="236" spans="1:69" ht="12.95" customHeight="1">
      <c r="B236" s="4"/>
      <c r="D236" s="4" t="s">
        <v>552</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06" t="s">
        <v>543</v>
      </c>
      <c r="AJ236" s="1306"/>
      <c r="AL236" s="3"/>
      <c r="AM236" s="3"/>
      <c r="AN236" s="3"/>
      <c r="AO236" s="3"/>
      <c r="AP236" s="3"/>
      <c r="AQ236" s="3"/>
      <c r="AR236" s="3"/>
      <c r="AS236" s="3"/>
      <c r="AT236" s="3"/>
      <c r="AU236" s="3"/>
      <c r="AV236" s="3"/>
      <c r="AW236" s="3"/>
      <c r="AX236" s="3"/>
      <c r="AY236" s="3"/>
      <c r="BA236" s="3"/>
      <c r="BB236" s="204" t="s">
        <v>536</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06" t="s">
        <v>589</v>
      </c>
      <c r="AJ237" s="1306"/>
      <c r="AL237" s="3"/>
      <c r="AM237" s="3"/>
      <c r="AN237" s="3"/>
      <c r="AO237" s="3"/>
      <c r="AP237" s="3"/>
      <c r="AQ237" s="3"/>
      <c r="AR237" s="3"/>
      <c r="AS237" s="3"/>
      <c r="AT237" s="3"/>
      <c r="AU237" s="3"/>
      <c r="AV237" s="3"/>
      <c r="AW237" s="3"/>
      <c r="AX237" s="3"/>
      <c r="AY237" s="3"/>
      <c r="AZ237" s="4"/>
      <c r="BA237" s="3"/>
      <c r="BB237" s="204" t="s">
        <v>536</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06" t="s">
        <v>589</v>
      </c>
      <c r="AJ238" s="1306"/>
      <c r="AL238" s="3"/>
      <c r="AM238" s="3"/>
      <c r="AN238" s="3"/>
      <c r="AO238" s="3"/>
      <c r="AP238" s="3"/>
      <c r="AQ238" s="3"/>
      <c r="AR238" s="3"/>
      <c r="AS238" s="3"/>
      <c r="AT238" s="3"/>
      <c r="AU238" s="3"/>
      <c r="AV238" s="3"/>
      <c r="AW238" s="3"/>
      <c r="AX238" s="3"/>
      <c r="AY238" s="3"/>
      <c r="BA238" s="3"/>
      <c r="BB238" s="204" t="s">
        <v>536</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536</v>
      </c>
      <c r="BG239" s="240">
        <f>IF(AND(AND($M$258="nonprofit",$M$266="for profit",$M$274="(select one)")),2,0)</f>
        <v>0</v>
      </c>
    </row>
    <row r="240" spans="1:69" ht="12.95" customHeight="1">
      <c r="A240" s="2" t="s">
        <v>574</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468</v>
      </c>
      <c r="E241" s="4"/>
      <c r="F241" s="4"/>
      <c r="G241" s="4"/>
      <c r="H241" s="4"/>
      <c r="I241" s="4"/>
      <c r="J241" s="4"/>
      <c r="K241" s="4"/>
      <c r="M241" s="1482" t="str">
        <f>H16</f>
        <v>Avenue 42 Apartments LP</v>
      </c>
      <c r="N241" s="1482"/>
      <c r="O241" s="1482"/>
      <c r="P241" s="1482"/>
      <c r="Q241" s="1482"/>
      <c r="R241" s="1482"/>
      <c r="S241" s="1482"/>
      <c r="T241" s="1482"/>
      <c r="U241" s="1482"/>
      <c r="V241" s="1482"/>
      <c r="W241" s="1482"/>
      <c r="X241" s="1482"/>
      <c r="Y241" s="1482"/>
      <c r="Z241" s="1482"/>
      <c r="AA241" s="1482"/>
      <c r="AB241" s="1482"/>
      <c r="AC241" s="1482"/>
      <c r="AD241" s="1482"/>
      <c r="AE241" s="1482"/>
      <c r="AF241" s="1482"/>
      <c r="AG241" s="1482"/>
      <c r="AH241" s="1482"/>
      <c r="AI241" s="1482"/>
      <c r="AJ241" s="1482"/>
      <c r="AK241" s="1482"/>
      <c r="AZ241" s="4"/>
      <c r="BA241" s="3"/>
      <c r="BB241" s="205" t="s">
        <v>536</v>
      </c>
      <c r="BG241" s="241">
        <f>IF(AND(AND($M$258="nonprofit",$M$266="nonprofit",$M$274="for profit")),2,0)</f>
        <v>0</v>
      </c>
    </row>
    <row r="242" spans="1:67" ht="12.95" customHeight="1">
      <c r="D242" s="4" t="s">
        <v>85</v>
      </c>
      <c r="E242" s="4"/>
      <c r="F242" s="4"/>
      <c r="G242" s="4"/>
      <c r="H242" s="4"/>
      <c r="I242" s="4"/>
      <c r="J242" s="4"/>
      <c r="K242" s="4"/>
      <c r="M242" s="1435" t="s">
        <v>2667</v>
      </c>
      <c r="N242" s="1438"/>
      <c r="O242" s="1438"/>
      <c r="P242" s="1438"/>
      <c r="Q242" s="1438"/>
      <c r="R242" s="1438"/>
      <c r="S242" s="1438"/>
      <c r="T242" s="1438"/>
      <c r="U242" s="1438"/>
      <c r="V242" s="1438"/>
      <c r="W242" s="1438"/>
      <c r="X242" s="1438"/>
      <c r="Y242" s="1438"/>
      <c r="Z242" s="1438"/>
      <c r="AA242" s="1438"/>
      <c r="AB242" s="1438"/>
      <c r="AC242" s="1438"/>
      <c r="AD242" s="1438"/>
      <c r="AE242" s="1438"/>
      <c r="BB242" s="205" t="s">
        <v>536</v>
      </c>
      <c r="BG242" s="241">
        <f>IF(AND(AND($M$258="nonprofit",$M$266="for profit",$M$274="nonprofit")),2,0)</f>
        <v>0</v>
      </c>
    </row>
    <row r="243" spans="1:67" ht="12.95" customHeight="1">
      <c r="D243" s="4" t="s">
        <v>578</v>
      </c>
      <c r="E243" s="4"/>
      <c r="M243" s="1435" t="s">
        <v>2668</v>
      </c>
      <c r="N243" s="1438"/>
      <c r="O243" s="1438"/>
      <c r="P243" s="1438"/>
      <c r="Q243" s="1438"/>
      <c r="R243" s="1438"/>
      <c r="S243" s="1438"/>
      <c r="T243" s="1438"/>
      <c r="V243" s="33" t="s">
        <v>86</v>
      </c>
      <c r="W243" s="1336" t="s">
        <v>2662</v>
      </c>
      <c r="X243" s="1336"/>
      <c r="Y243" s="4" t="s">
        <v>581</v>
      </c>
      <c r="AC243" s="1438">
        <v>90405</v>
      </c>
      <c r="AD243" s="1438"/>
      <c r="AE243" s="1438"/>
      <c r="AU243" s="4"/>
      <c r="AV243" s="4"/>
      <c r="AW243" s="4"/>
      <c r="AX243" s="4"/>
      <c r="AY243" s="4"/>
      <c r="AZ243" s="4"/>
      <c r="BB243" s="205" t="s">
        <v>536</v>
      </c>
      <c r="BG243" s="240">
        <f>IF(AND(AND($M$258="for profit",$M$266="nonprofit",$M$274="nonprofit")),2,0)</f>
        <v>0</v>
      </c>
    </row>
    <row r="244" spans="1:67" ht="12.95" customHeight="1">
      <c r="D244" s="4" t="s">
        <v>87</v>
      </c>
      <c r="E244" s="4"/>
      <c r="F244" s="4"/>
      <c r="G244" s="4"/>
      <c r="H244" s="4"/>
      <c r="I244" s="4"/>
      <c r="J244" s="4"/>
      <c r="K244" s="19"/>
      <c r="M244" s="1435" t="s">
        <v>2669</v>
      </c>
      <c r="N244" s="1438"/>
      <c r="O244" s="1438"/>
      <c r="P244" s="1438"/>
      <c r="Q244" s="1438"/>
      <c r="R244" s="1438"/>
      <c r="S244" s="1438"/>
      <c r="T244" s="1438"/>
      <c r="U244" s="1438"/>
      <c r="V244" s="1438"/>
      <c r="W244" s="1438"/>
      <c r="X244" s="1438"/>
      <c r="Y244" s="1438"/>
      <c r="Z244" s="1438"/>
      <c r="AA244" s="1438"/>
      <c r="AB244" s="1438"/>
      <c r="AC244" s="1438"/>
      <c r="AD244" s="1438"/>
      <c r="AE244" s="1438"/>
      <c r="AI244" s="4"/>
      <c r="AJ244" s="4"/>
      <c r="AK244" s="4"/>
      <c r="AL244" s="4"/>
      <c r="AM244" s="4"/>
      <c r="AN244" s="4"/>
      <c r="AO244" s="4"/>
      <c r="AP244" s="4"/>
      <c r="AQ244" s="4"/>
      <c r="AR244" s="4"/>
      <c r="AS244" s="4"/>
      <c r="AT244" s="4"/>
      <c r="BB244" s="205"/>
      <c r="BG244" s="204"/>
    </row>
    <row r="245" spans="1:67" ht="12.95" customHeight="1">
      <c r="D245" s="4" t="s">
        <v>88</v>
      </c>
      <c r="E245" s="4"/>
      <c r="F245" s="4"/>
      <c r="M245" s="1310" t="s">
        <v>2727</v>
      </c>
      <c r="N245" s="1310"/>
      <c r="O245" s="1310"/>
      <c r="P245" s="1310"/>
      <c r="Q245" s="1310"/>
      <c r="R245" s="1310"/>
      <c r="S245" s="4" t="s">
        <v>205</v>
      </c>
      <c r="T245" s="4"/>
      <c r="U245" s="1336"/>
      <c r="V245" s="1336"/>
      <c r="W245" s="1336"/>
      <c r="X245" s="4" t="s">
        <v>89</v>
      </c>
      <c r="Z245" s="1310"/>
      <c r="AA245" s="1310"/>
      <c r="AB245" s="1310"/>
      <c r="AC245" s="1310"/>
      <c r="AD245" s="1310"/>
      <c r="AE245" s="1310"/>
      <c r="AU245" s="4"/>
      <c r="AV245" s="4"/>
      <c r="AW245" s="4"/>
      <c r="AX245" s="4"/>
      <c r="AY245" s="4"/>
      <c r="AZ245" s="4"/>
      <c r="BB245" s="204" t="s">
        <v>535</v>
      </c>
      <c r="BG245" s="241">
        <f>IF(AND(AND($M$258="nonprofit",$M$266="nonprofit",$M$274="(select one)")),1,0)</f>
        <v>0</v>
      </c>
    </row>
    <row r="246" spans="1:67" ht="12.95" customHeight="1">
      <c r="D246" s="4" t="s">
        <v>90</v>
      </c>
      <c r="E246" s="4"/>
      <c r="F246" s="4"/>
      <c r="M246" s="1464" t="s">
        <v>2671</v>
      </c>
      <c r="N246" s="1464"/>
      <c r="O246" s="1464"/>
      <c r="P246" s="1464"/>
      <c r="Q246" s="1464"/>
      <c r="R246" s="1464"/>
      <c r="S246" s="1464"/>
      <c r="T246" s="1464"/>
      <c r="U246" s="1464"/>
      <c r="V246" s="1464"/>
      <c r="W246" s="1464"/>
      <c r="X246" s="1464"/>
      <c r="Y246" s="1464"/>
      <c r="Z246" s="1464"/>
      <c r="AA246" s="1464"/>
      <c r="AB246" s="1464"/>
      <c r="AC246" s="1464"/>
      <c r="AD246" s="1464"/>
      <c r="AE246" s="1464"/>
      <c r="AF246" s="4"/>
      <c r="AG246" s="4"/>
      <c r="AH246" s="4"/>
      <c r="AI246" s="4"/>
      <c r="AJ246" s="4"/>
      <c r="AK246" s="4"/>
      <c r="AL246" s="4"/>
      <c r="AM246" s="4"/>
      <c r="AN246" s="4"/>
      <c r="AO246" s="4"/>
      <c r="AP246" s="4"/>
      <c r="AQ246" s="4"/>
      <c r="AR246" s="4"/>
      <c r="AS246" s="4"/>
      <c r="AT246" s="4"/>
      <c r="AU246" s="3"/>
      <c r="AV246" s="3"/>
      <c r="AW246" s="3"/>
      <c r="AX246" s="3"/>
      <c r="AY246" s="3"/>
      <c r="BB246" s="204" t="s">
        <v>535</v>
      </c>
      <c r="BG246" s="241">
        <f>IF(AND(AND($M$258="nonprofit",$M$266="nonprofit",$M$274="nonprofit")),1,0)</f>
        <v>0</v>
      </c>
    </row>
    <row r="247" spans="1:67" ht="12.95" customHeight="1">
      <c r="A247" s="2" t="s">
        <v>584</v>
      </c>
      <c r="C247" s="2" t="s">
        <v>523</v>
      </c>
      <c r="M247" s="1335" t="s">
        <v>526</v>
      </c>
      <c r="N247" s="1335"/>
      <c r="O247" s="1335"/>
      <c r="P247" s="1335"/>
      <c r="Q247" s="1335"/>
      <c r="R247" s="1335"/>
      <c r="S247" s="1335"/>
      <c r="T247" s="1335"/>
      <c r="U247" s="204" t="s">
        <v>904</v>
      </c>
      <c r="V247" s="204"/>
      <c r="W247" s="204"/>
      <c r="X247" s="204"/>
      <c r="Y247" s="204"/>
      <c r="Z247" s="204"/>
      <c r="AA247" s="1492" t="s">
        <v>2763</v>
      </c>
      <c r="AB247" s="1488"/>
      <c r="AC247" s="1488"/>
      <c r="AD247" s="1488"/>
      <c r="AE247" s="1488"/>
      <c r="AF247" s="1488"/>
      <c r="AG247" s="1488"/>
      <c r="AH247" s="1488"/>
      <c r="AI247" s="1488"/>
      <c r="AJ247" s="1488"/>
      <c r="AK247" s="1488"/>
      <c r="AL247" s="3"/>
      <c r="AM247" s="3"/>
      <c r="AN247" s="3"/>
      <c r="AO247" s="3"/>
      <c r="AP247" s="3"/>
      <c r="AQ247" s="3"/>
      <c r="AR247" s="3"/>
      <c r="AS247" s="3"/>
      <c r="AT247" s="3"/>
      <c r="AU247" s="3"/>
      <c r="AV247" s="3"/>
      <c r="AW247" s="3"/>
      <c r="AX247" s="3"/>
      <c r="AY247" s="3"/>
      <c r="BB247" s="204" t="s">
        <v>535</v>
      </c>
      <c r="BG247" s="241">
        <f>IF(AND(AND($M$258="nonprofit",$M$266="(select one)",$M$274="(select one)")),1,0)</f>
        <v>0</v>
      </c>
    </row>
    <row r="248" spans="1:67" ht="12.95" customHeight="1">
      <c r="D248" t="s">
        <v>529</v>
      </c>
      <c r="M248" s="1348"/>
      <c r="N248" s="1348"/>
      <c r="O248" s="1348"/>
      <c r="P248" s="1348"/>
      <c r="Q248" s="1348"/>
      <c r="R248" s="1348"/>
      <c r="S248" s="1348"/>
      <c r="T248" s="1348"/>
      <c r="U248" s="1348"/>
      <c r="V248" s="1348"/>
      <c r="W248" s="1348"/>
      <c r="X248" s="1348"/>
      <c r="Y248" s="1348"/>
      <c r="Z248" s="1348"/>
      <c r="AA248" s="1348"/>
      <c r="AB248" s="1348"/>
      <c r="AC248" s="1348"/>
      <c r="AD248" s="1348"/>
      <c r="AE248" s="1348"/>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5" customHeight="1">
      <c r="D249" s="4"/>
      <c r="BB249" s="204" t="s">
        <v>875</v>
      </c>
      <c r="BG249" s="241">
        <f>IF(AND(AND($M$258="for profit",$M$266="for profit",$M$274="for profit")),3,0)</f>
        <v>0</v>
      </c>
    </row>
    <row r="250" spans="1:67" ht="12.95" customHeight="1">
      <c r="A250" s="2" t="s">
        <v>587</v>
      </c>
      <c r="C250" s="2" t="s">
        <v>1181</v>
      </c>
      <c r="D250" s="4"/>
      <c r="L250" s="8"/>
      <c r="M250" s="8"/>
      <c r="N250" s="8"/>
      <c r="AU250" s="3"/>
      <c r="AV250" s="3"/>
      <c r="AW250" s="3"/>
      <c r="AX250" s="3"/>
      <c r="AY250" s="3"/>
      <c r="BB250" s="204" t="s">
        <v>875</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471</v>
      </c>
      <c r="D252" s="4" t="s">
        <v>530</v>
      </c>
      <c r="E252" s="4"/>
      <c r="F252" s="4"/>
      <c r="G252" s="4"/>
      <c r="H252" s="4"/>
      <c r="I252" s="4"/>
      <c r="J252" s="4"/>
      <c r="K252" s="4"/>
      <c r="L252" s="4"/>
      <c r="M252" s="1462" t="s">
        <v>2737</v>
      </c>
      <c r="N252" s="1462"/>
      <c r="O252" s="1462"/>
      <c r="P252" s="1462"/>
      <c r="Q252" s="1462"/>
      <c r="R252" s="1462"/>
      <c r="S252" s="1462"/>
      <c r="T252" s="1462"/>
      <c r="U252" s="1462"/>
      <c r="V252" s="1462"/>
      <c r="W252" s="1462"/>
      <c r="X252" s="1462"/>
      <c r="Y252" s="1462"/>
      <c r="Z252" s="1462"/>
      <c r="AA252" s="1462"/>
      <c r="AB252" s="1462"/>
      <c r="AC252" s="1462"/>
      <c r="AD252" s="1462"/>
      <c r="AE252" s="1462"/>
      <c r="AF252" s="1462" t="s">
        <v>2738</v>
      </c>
      <c r="AG252" s="1462"/>
      <c r="AH252" s="1462"/>
      <c r="AI252" s="1462"/>
      <c r="AJ252" s="1462"/>
      <c r="AK252" s="1462"/>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38" t="s">
        <v>2667</v>
      </c>
      <c r="N253" s="1438"/>
      <c r="O253" s="1438"/>
      <c r="P253" s="1438"/>
      <c r="Q253" s="1438"/>
      <c r="R253" s="1438"/>
      <c r="S253" s="1438"/>
      <c r="T253" s="1438"/>
      <c r="U253" s="1438"/>
      <c r="V253" s="1438"/>
      <c r="W253" s="1438"/>
      <c r="X253" s="1438"/>
      <c r="Y253" s="1438"/>
      <c r="Z253" s="1438"/>
      <c r="AA253" s="1438"/>
      <c r="AB253" s="1438"/>
      <c r="AC253" s="1438"/>
      <c r="AD253" s="1438"/>
      <c r="AE253" s="1438"/>
      <c r="AF253" s="3" t="s">
        <v>1177</v>
      </c>
      <c r="AL253" s="4"/>
      <c r="AM253" s="4"/>
      <c r="AN253" s="4"/>
      <c r="AO253" s="4"/>
      <c r="AP253" s="4"/>
      <c r="AQ253" s="4"/>
      <c r="AR253" s="4"/>
      <c r="AS253" s="4"/>
      <c r="AT253" s="4"/>
      <c r="BB253" t="s">
        <v>306</v>
      </c>
      <c r="BG253">
        <v>1</v>
      </c>
      <c r="BH253" t="s">
        <v>532</v>
      </c>
    </row>
    <row r="254" spans="1:67" ht="12.95" customHeight="1">
      <c r="A254" s="19"/>
      <c r="B254" s="4"/>
      <c r="C254" s="4"/>
      <c r="D254" s="4" t="s">
        <v>578</v>
      </c>
      <c r="E254" s="4"/>
      <c r="M254" s="1435" t="s">
        <v>2668</v>
      </c>
      <c r="N254" s="1438"/>
      <c r="O254" s="1438"/>
      <c r="P254" s="1438"/>
      <c r="Q254" s="1438"/>
      <c r="R254" s="1438"/>
      <c r="S254" s="1438"/>
      <c r="T254" s="1438"/>
      <c r="V254" s="33" t="s">
        <v>86</v>
      </c>
      <c r="W254" s="1454" t="s">
        <v>2662</v>
      </c>
      <c r="X254" s="1336"/>
      <c r="Y254" s="4" t="s">
        <v>581</v>
      </c>
      <c r="AC254" s="1438">
        <v>90401</v>
      </c>
      <c r="AD254" s="1438"/>
      <c r="AE254" s="1438"/>
      <c r="AF254" s="3" t="s">
        <v>1178</v>
      </c>
      <c r="AU254" s="4"/>
      <c r="AV254" s="4"/>
      <c r="AW254" s="4"/>
      <c r="AX254" s="4"/>
      <c r="AY254" s="4"/>
      <c r="BB254" s="4" t="s">
        <v>279</v>
      </c>
      <c r="BG254">
        <v>2</v>
      </c>
      <c r="BH254" t="s">
        <v>564</v>
      </c>
      <c r="BO254" s="239" t="str">
        <f>VLOOKUP(BG252,BG253:BH256,2,FALSE)</f>
        <v>Joint Venture</v>
      </c>
    </row>
    <row r="255" spans="1:67" ht="12.95" customHeight="1">
      <c r="A255" s="19"/>
      <c r="B255" s="4"/>
      <c r="C255" s="4"/>
      <c r="D255" s="4" t="s">
        <v>87</v>
      </c>
      <c r="E255" s="4"/>
      <c r="F255" s="4"/>
      <c r="G255" s="4"/>
      <c r="H255" s="4"/>
      <c r="I255" s="4"/>
      <c r="J255" s="4"/>
      <c r="K255" s="4"/>
      <c r="L255" s="19"/>
      <c r="M255" s="1435" t="s">
        <v>2669</v>
      </c>
      <c r="N255" s="1438"/>
      <c r="O255" s="1438"/>
      <c r="P255" s="1438"/>
      <c r="Q255" s="1438"/>
      <c r="R255" s="1438"/>
      <c r="S255" s="1438"/>
      <c r="T255" s="1438"/>
      <c r="U255" s="1438"/>
      <c r="V255" s="1438"/>
      <c r="W255" s="1438"/>
      <c r="X255" s="1438"/>
      <c r="Y255" s="1438"/>
      <c r="Z255" s="1438"/>
      <c r="AA255" s="1438"/>
      <c r="AB255" s="1438"/>
      <c r="AC255" s="1438"/>
      <c r="AD255" s="1438"/>
      <c r="AE255" s="1438"/>
      <c r="AH255" s="1494">
        <v>6.3E-5</v>
      </c>
      <c r="AI255" s="1466"/>
      <c r="AJ255" s="1466"/>
      <c r="AK255" s="1466"/>
      <c r="AL255" s="4"/>
      <c r="AM255" s="4"/>
      <c r="AN255" s="4"/>
      <c r="AO255" s="4"/>
      <c r="AP255" s="4"/>
      <c r="AQ255" s="4"/>
      <c r="AR255" s="4"/>
      <c r="AS255" s="4"/>
      <c r="AT255" s="4"/>
      <c r="BB255" s="4" t="s">
        <v>172</v>
      </c>
      <c r="BG255">
        <v>3</v>
      </c>
      <c r="BH255" t="s">
        <v>534</v>
      </c>
      <c r="BN255" s="34"/>
    </row>
    <row r="256" spans="1:67" ht="12.95" customHeight="1">
      <c r="A256" s="19"/>
      <c r="B256" s="4"/>
      <c r="C256" s="4"/>
      <c r="D256" s="4" t="s">
        <v>88</v>
      </c>
      <c r="E256" s="4"/>
      <c r="F256" s="4"/>
      <c r="M256" s="1310" t="s">
        <v>2727</v>
      </c>
      <c r="N256" s="1310"/>
      <c r="O256" s="1310"/>
      <c r="P256" s="1310"/>
      <c r="Q256" s="1310"/>
      <c r="R256" s="1310"/>
      <c r="S256" s="4" t="s">
        <v>205</v>
      </c>
      <c r="T256" s="4"/>
      <c r="U256" s="1336"/>
      <c r="V256" s="1336"/>
      <c r="W256" s="1336"/>
      <c r="X256" s="4" t="s">
        <v>89</v>
      </c>
      <c r="Z256" s="1310"/>
      <c r="AA256" s="1310"/>
      <c r="AB256" s="1310"/>
      <c r="AC256" s="1310"/>
      <c r="AD256" s="1310"/>
      <c r="AE256" s="1310"/>
      <c r="AU256" s="4"/>
      <c r="AV256" s="4"/>
      <c r="AW256" s="4"/>
      <c r="AX256" s="4"/>
      <c r="AY256" s="4"/>
      <c r="BG256">
        <v>0</v>
      </c>
      <c r="BH256" s="3" t="str">
        <f>""</f>
        <v/>
      </c>
      <c r="BN256" s="34"/>
    </row>
    <row r="257" spans="1:66" ht="12.95" customHeight="1">
      <c r="A257" s="19"/>
      <c r="B257" s="4"/>
      <c r="C257" s="4"/>
      <c r="D257" s="4" t="s">
        <v>90</v>
      </c>
      <c r="E257" s="4"/>
      <c r="F257" s="4"/>
      <c r="M257" s="1464" t="s">
        <v>2671</v>
      </c>
      <c r="N257" s="1464"/>
      <c r="O257" s="1464"/>
      <c r="P257" s="1464"/>
      <c r="Q257" s="1464"/>
      <c r="R257" s="1464"/>
      <c r="S257" s="1464"/>
      <c r="T257" s="1464"/>
      <c r="U257" s="1464"/>
      <c r="V257" s="1464"/>
      <c r="W257" s="1464"/>
      <c r="X257" s="1464"/>
      <c r="Y257" s="1464"/>
      <c r="Z257" s="1464"/>
      <c r="AA257" s="1464"/>
      <c r="AB257" s="1464"/>
      <c r="AC257" s="1464"/>
      <c r="AD257" s="1464"/>
      <c r="AE257" s="1464"/>
      <c r="AG257" s="4"/>
      <c r="AH257" s="4"/>
      <c r="AI257" s="4"/>
      <c r="AJ257" s="4"/>
      <c r="AK257" s="4"/>
      <c r="AL257" s="4"/>
      <c r="AM257" s="4"/>
      <c r="AN257" s="4"/>
      <c r="AO257" s="4"/>
      <c r="AP257" s="4"/>
      <c r="AQ257" s="4"/>
      <c r="AR257" s="4"/>
      <c r="AS257" s="4"/>
      <c r="AT257" s="4"/>
      <c r="BN257" s="34"/>
    </row>
    <row r="258" spans="1:66" ht="12.95" customHeight="1">
      <c r="A258" s="13"/>
      <c r="B258" s="4"/>
      <c r="C258" s="56"/>
      <c r="D258" s="4" t="s">
        <v>533</v>
      </c>
      <c r="E258" s="4"/>
      <c r="F258" s="4"/>
      <c r="G258" s="4"/>
      <c r="H258" s="4"/>
      <c r="I258" s="4"/>
      <c r="J258" s="4"/>
      <c r="K258" s="4"/>
      <c r="L258" s="4"/>
      <c r="M258" s="1335" t="s">
        <v>534</v>
      </c>
      <c r="N258" s="1335"/>
      <c r="O258" s="1335"/>
      <c r="P258" s="1335"/>
      <c r="Q258" s="1335"/>
      <c r="R258" s="1335"/>
      <c r="S258" s="1335"/>
      <c r="T258" s="1335"/>
      <c r="U258" s="204" t="s">
        <v>904</v>
      </c>
      <c r="V258" s="204"/>
      <c r="W258" s="204"/>
      <c r="X258" s="204"/>
      <c r="Y258" s="204"/>
      <c r="Z258" s="204"/>
      <c r="AA258" s="1488" t="s">
        <v>2763</v>
      </c>
      <c r="AB258" s="1488"/>
      <c r="AC258" s="1488"/>
      <c r="AD258" s="1488"/>
      <c r="AE258" s="1488"/>
      <c r="AF258" s="1488"/>
      <c r="AG258" s="1488"/>
      <c r="AH258" s="1488"/>
      <c r="AI258" s="1488"/>
      <c r="AJ258" s="1488"/>
      <c r="AK258" s="1488"/>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953</v>
      </c>
      <c r="E260" s="4"/>
      <c r="F260" s="4"/>
      <c r="G260" s="4"/>
      <c r="H260" s="4"/>
      <c r="I260" s="4"/>
      <c r="J260" s="4"/>
      <c r="K260" s="4"/>
      <c r="L260" s="4"/>
      <c r="M260" s="1493" t="s">
        <v>2655</v>
      </c>
      <c r="N260" s="1462"/>
      <c r="O260" s="1462"/>
      <c r="P260" s="1462"/>
      <c r="Q260" s="1462"/>
      <c r="R260" s="1462"/>
      <c r="S260" s="1462"/>
      <c r="T260" s="1462"/>
      <c r="U260" s="1462"/>
      <c r="V260" s="1462"/>
      <c r="W260" s="1462"/>
      <c r="X260" s="1462"/>
      <c r="Y260" s="1462"/>
      <c r="Z260" s="1462"/>
      <c r="AA260" s="1462"/>
      <c r="AB260" s="1462"/>
      <c r="AC260" s="1462"/>
      <c r="AD260" s="1462"/>
      <c r="AE260" s="1462"/>
      <c r="AF260" s="1462" t="s">
        <v>2666</v>
      </c>
      <c r="AG260" s="1462"/>
      <c r="AH260" s="1462"/>
      <c r="AI260" s="1462"/>
      <c r="AJ260" s="1462"/>
      <c r="AK260" s="1462"/>
      <c r="AU260" s="4"/>
      <c r="AV260" s="4"/>
      <c r="AW260" s="4"/>
      <c r="AX260" s="4"/>
      <c r="AY260" s="4"/>
      <c r="BN260" s="34"/>
    </row>
    <row r="261" spans="1:66" ht="12.95" customHeight="1">
      <c r="A261" s="19"/>
      <c r="B261" s="4"/>
      <c r="C261" s="4"/>
      <c r="D261" s="4" t="s">
        <v>85</v>
      </c>
      <c r="E261" s="4"/>
      <c r="F261" s="4"/>
      <c r="G261" s="4"/>
      <c r="H261" s="4"/>
      <c r="I261" s="4"/>
      <c r="J261" s="4"/>
      <c r="K261" s="4"/>
      <c r="L261" s="4"/>
      <c r="M261" s="1435" t="s">
        <v>2661</v>
      </c>
      <c r="N261" s="1438"/>
      <c r="O261" s="1438"/>
      <c r="P261" s="1438"/>
      <c r="Q261" s="1438"/>
      <c r="R261" s="1438"/>
      <c r="S261" s="1438"/>
      <c r="T261" s="1438"/>
      <c r="U261" s="1438"/>
      <c r="V261" s="1438"/>
      <c r="W261" s="1438"/>
      <c r="X261" s="1438"/>
      <c r="Y261" s="1438"/>
      <c r="Z261" s="1438"/>
      <c r="AA261" s="1438"/>
      <c r="AB261" s="1438"/>
      <c r="AC261" s="1438"/>
      <c r="AD261" s="1438"/>
      <c r="AE261" s="1438"/>
      <c r="AF261" s="3" t="s">
        <v>1177</v>
      </c>
      <c r="AL261" s="4"/>
      <c r="AM261" s="4"/>
      <c r="AN261" s="4"/>
      <c r="AO261" s="4"/>
      <c r="AP261" s="4"/>
      <c r="AQ261" s="4"/>
      <c r="AR261" s="4"/>
      <c r="AS261" s="4"/>
      <c r="AT261" s="4"/>
      <c r="BN261" s="34"/>
    </row>
    <row r="262" spans="1:66" ht="12.95" customHeight="1">
      <c r="A262" s="19"/>
      <c r="B262" s="4"/>
      <c r="C262" s="4"/>
      <c r="D262" s="4" t="s">
        <v>578</v>
      </c>
      <c r="E262" s="4"/>
      <c r="M262" s="1435" t="s">
        <v>2765</v>
      </c>
      <c r="N262" s="1438"/>
      <c r="O262" s="1438"/>
      <c r="P262" s="1438"/>
      <c r="Q262" s="1438"/>
      <c r="R262" s="1438"/>
      <c r="S262" s="1438"/>
      <c r="T262" s="1438"/>
      <c r="V262" s="33" t="s">
        <v>86</v>
      </c>
      <c r="W262" s="1454" t="s">
        <v>2662</v>
      </c>
      <c r="X262" s="1336"/>
      <c r="Y262" s="4" t="s">
        <v>581</v>
      </c>
      <c r="AC262" s="1438">
        <v>95816</v>
      </c>
      <c r="AD262" s="1438"/>
      <c r="AE262" s="1438"/>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435" t="s">
        <v>2663</v>
      </c>
      <c r="N263" s="1438"/>
      <c r="O263" s="1438"/>
      <c r="P263" s="1438"/>
      <c r="Q263" s="1438"/>
      <c r="R263" s="1438"/>
      <c r="S263" s="1438"/>
      <c r="T263" s="1438"/>
      <c r="U263" s="1438"/>
      <c r="V263" s="1438"/>
      <c r="W263" s="1438"/>
      <c r="X263" s="1438"/>
      <c r="Y263" s="1438"/>
      <c r="Z263" s="1438"/>
      <c r="AA263" s="1438"/>
      <c r="AB263" s="1438"/>
      <c r="AC263" s="1438"/>
      <c r="AD263" s="1438"/>
      <c r="AE263" s="1438"/>
      <c r="AH263" s="1494">
        <v>1.0000000000000001E-5</v>
      </c>
      <c r="AI263" s="1466"/>
      <c r="AJ263" s="1466"/>
      <c r="AK263" s="1466"/>
      <c r="AL263" s="4"/>
      <c r="AM263" s="4"/>
      <c r="AN263" s="4"/>
      <c r="AO263" s="4"/>
      <c r="AP263" s="4"/>
      <c r="AQ263" s="4"/>
      <c r="AR263" s="4"/>
      <c r="AS263" s="4"/>
      <c r="AT263" s="4"/>
    </row>
    <row r="264" spans="1:66" ht="12.95" customHeight="1">
      <c r="A264" s="19"/>
      <c r="B264" s="4"/>
      <c r="C264" s="4"/>
      <c r="D264" s="4" t="s">
        <v>88</v>
      </c>
      <c r="E264" s="4"/>
      <c r="F264" s="4"/>
      <c r="M264" s="1491" t="s">
        <v>2664</v>
      </c>
      <c r="N264" s="1310"/>
      <c r="O264" s="1310"/>
      <c r="P264" s="1310"/>
      <c r="Q264" s="1310"/>
      <c r="R264" s="1310"/>
      <c r="S264" s="4" t="s">
        <v>205</v>
      </c>
      <c r="T264" s="4"/>
      <c r="U264" s="1336"/>
      <c r="V264" s="1336"/>
      <c r="W264" s="1336"/>
      <c r="X264" s="4" t="s">
        <v>89</v>
      </c>
      <c r="Z264" s="1310"/>
      <c r="AA264" s="1310"/>
      <c r="AB264" s="1310"/>
      <c r="AC264" s="1310"/>
      <c r="AD264" s="1310"/>
      <c r="AE264" s="1310"/>
      <c r="AU264" s="4"/>
      <c r="AV264" s="4"/>
      <c r="AW264" s="4"/>
      <c r="AX264" s="4"/>
      <c r="AY264" s="4"/>
      <c r="BN264" s="34"/>
    </row>
    <row r="265" spans="1:66" ht="12.95" customHeight="1">
      <c r="A265" s="19"/>
      <c r="B265" s="4"/>
      <c r="C265" s="4"/>
      <c r="D265" s="4" t="s">
        <v>90</v>
      </c>
      <c r="E265" s="4"/>
      <c r="F265" s="4"/>
      <c r="M265" s="1464" t="s">
        <v>2665</v>
      </c>
      <c r="N265" s="1464"/>
      <c r="O265" s="1464"/>
      <c r="P265" s="1464"/>
      <c r="Q265" s="1464"/>
      <c r="R265" s="1464"/>
      <c r="S265" s="1464"/>
      <c r="T265" s="1464"/>
      <c r="U265" s="1464"/>
      <c r="V265" s="1464"/>
      <c r="W265" s="1464"/>
      <c r="X265" s="1464"/>
      <c r="Y265" s="1464"/>
      <c r="Z265" s="1464"/>
      <c r="AA265" s="1464"/>
      <c r="AB265" s="1464"/>
      <c r="AC265" s="1464"/>
      <c r="AD265" s="1464"/>
      <c r="AE265" s="1464"/>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533</v>
      </c>
      <c r="E266" s="4"/>
      <c r="F266" s="4"/>
      <c r="G266" s="4"/>
      <c r="H266" s="4"/>
      <c r="I266" s="4"/>
      <c r="J266" s="4"/>
      <c r="K266" s="4"/>
      <c r="L266" s="4"/>
      <c r="M266" s="1335" t="s">
        <v>532</v>
      </c>
      <c r="N266" s="1335"/>
      <c r="O266" s="1335"/>
      <c r="P266" s="1335"/>
      <c r="Q266" s="1335"/>
      <c r="R266" s="1335"/>
      <c r="S266" s="1335"/>
      <c r="T266" s="1335"/>
      <c r="U266" s="204" t="s">
        <v>904</v>
      </c>
      <c r="V266" s="204"/>
      <c r="W266" s="204"/>
      <c r="X266" s="204"/>
      <c r="Y266" s="204"/>
      <c r="Z266" s="204"/>
      <c r="AA266" s="1492" t="s">
        <v>2655</v>
      </c>
      <c r="AB266" s="1488"/>
      <c r="AC266" s="1488"/>
      <c r="AD266" s="1488"/>
      <c r="AE266" s="1488"/>
      <c r="AF266" s="1488"/>
      <c r="AG266" s="1488"/>
      <c r="AH266" s="1488"/>
      <c r="AI266" s="1488"/>
      <c r="AJ266" s="1488"/>
      <c r="AK266" s="1488"/>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874</v>
      </c>
      <c r="D268" s="4" t="s">
        <v>530</v>
      </c>
      <c r="E268" s="4"/>
      <c r="F268" s="4"/>
      <c r="G268" s="4"/>
      <c r="H268" s="4"/>
      <c r="I268" s="4"/>
      <c r="J268" s="4"/>
      <c r="K268" s="4"/>
      <c r="L268" s="4"/>
      <c r="M268" s="1462"/>
      <c r="N268" s="1462"/>
      <c r="O268" s="1462"/>
      <c r="P268" s="1462"/>
      <c r="Q268" s="1462"/>
      <c r="R268" s="1462"/>
      <c r="S268" s="1462"/>
      <c r="T268" s="1462"/>
      <c r="U268" s="1462"/>
      <c r="V268" s="1462"/>
      <c r="W268" s="1462"/>
      <c r="X268" s="1462"/>
      <c r="Y268" s="1462"/>
      <c r="Z268" s="1462"/>
      <c r="AA268" s="1462"/>
      <c r="AB268" s="1462"/>
      <c r="AC268" s="1462"/>
      <c r="AD268" s="1462"/>
      <c r="AE268" s="1462"/>
      <c r="AF268" s="1462"/>
      <c r="AG268" s="1462"/>
      <c r="AH268" s="1462"/>
      <c r="AI268" s="1462"/>
      <c r="AJ268" s="1462"/>
      <c r="AK268" s="1462"/>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38"/>
      <c r="N269" s="1438"/>
      <c r="O269" s="1438"/>
      <c r="P269" s="1438"/>
      <c r="Q269" s="1438"/>
      <c r="R269" s="1438"/>
      <c r="S269" s="1438"/>
      <c r="T269" s="1438"/>
      <c r="U269" s="1438"/>
      <c r="V269" s="1438"/>
      <c r="W269" s="1438"/>
      <c r="X269" s="1438"/>
      <c r="Y269" s="1438"/>
      <c r="Z269" s="1438"/>
      <c r="AA269" s="1438"/>
      <c r="AB269" s="1438"/>
      <c r="AC269" s="1438"/>
      <c r="AD269" s="1438"/>
      <c r="AE269" s="1438"/>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578</v>
      </c>
      <c r="E270" s="4"/>
      <c r="M270" s="1438"/>
      <c r="N270" s="1438"/>
      <c r="O270" s="1438"/>
      <c r="P270" s="1438"/>
      <c r="Q270" s="1438"/>
      <c r="R270" s="1438"/>
      <c r="S270" s="1438"/>
      <c r="T270" s="1438"/>
      <c r="V270" s="33" t="s">
        <v>86</v>
      </c>
      <c r="W270" s="1336"/>
      <c r="X270" s="1336"/>
      <c r="Y270" s="4" t="s">
        <v>581</v>
      </c>
      <c r="AC270" s="1438"/>
      <c r="AD270" s="1438"/>
      <c r="AE270" s="1438"/>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38"/>
      <c r="N271" s="1438"/>
      <c r="O271" s="1438"/>
      <c r="P271" s="1438"/>
      <c r="Q271" s="1438"/>
      <c r="R271" s="1438"/>
      <c r="S271" s="1438"/>
      <c r="T271" s="1438"/>
      <c r="U271" s="1438"/>
      <c r="V271" s="1438"/>
      <c r="W271" s="1438"/>
      <c r="X271" s="1438"/>
      <c r="Y271" s="1438"/>
      <c r="Z271" s="1438"/>
      <c r="AA271" s="1438"/>
      <c r="AB271" s="1438"/>
      <c r="AC271" s="1438"/>
      <c r="AD271" s="1438"/>
      <c r="AE271" s="1438"/>
      <c r="AH271" s="1466"/>
      <c r="AI271" s="1466"/>
      <c r="AJ271" s="1466"/>
      <c r="AK271" s="1466"/>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10"/>
      <c r="N272" s="1310"/>
      <c r="O272" s="1310"/>
      <c r="P272" s="1310"/>
      <c r="Q272" s="1310"/>
      <c r="R272" s="1310"/>
      <c r="S272" s="4" t="s">
        <v>205</v>
      </c>
      <c r="T272" s="4"/>
      <c r="U272" s="1336"/>
      <c r="V272" s="1336"/>
      <c r="W272" s="1336"/>
      <c r="X272" s="4" t="s">
        <v>89</v>
      </c>
      <c r="Z272" s="1310"/>
      <c r="AA272" s="1310"/>
      <c r="AB272" s="1310"/>
      <c r="AC272" s="1310"/>
      <c r="AD272" s="1310"/>
      <c r="AE272" s="1310"/>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64"/>
      <c r="N273" s="1464"/>
      <c r="O273" s="1464"/>
      <c r="P273" s="1464"/>
      <c r="Q273" s="1464"/>
      <c r="R273" s="1464"/>
      <c r="S273" s="1464"/>
      <c r="T273" s="1464"/>
      <c r="U273" s="1464"/>
      <c r="V273" s="1464"/>
      <c r="W273" s="1464"/>
      <c r="X273" s="1464"/>
      <c r="Y273" s="1464"/>
      <c r="Z273" s="1464"/>
      <c r="AA273" s="1465"/>
      <c r="AB273" s="1465"/>
      <c r="AC273" s="1465"/>
      <c r="AD273" s="1465"/>
      <c r="AE273" s="1465"/>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533</v>
      </c>
      <c r="E274" s="4"/>
      <c r="F274" s="4"/>
      <c r="G274" s="4"/>
      <c r="H274" s="4"/>
      <c r="I274" s="4"/>
      <c r="J274" s="4"/>
      <c r="K274" s="4"/>
      <c r="L274" s="4"/>
      <c r="M274" s="1335" t="s">
        <v>306</v>
      </c>
      <c r="N274" s="1335"/>
      <c r="O274" s="1335"/>
      <c r="P274" s="1335"/>
      <c r="Q274" s="1335"/>
      <c r="R274" s="1335"/>
      <c r="S274" s="1335"/>
      <c r="T274" s="1335"/>
      <c r="U274" s="204" t="s">
        <v>904</v>
      </c>
      <c r="V274" s="204"/>
      <c r="W274" s="204"/>
      <c r="X274" s="204"/>
      <c r="Y274" s="204"/>
      <c r="Z274" s="204"/>
      <c r="AA274" s="1495"/>
      <c r="AB274" s="1495"/>
      <c r="AC274" s="1495"/>
      <c r="AD274" s="1495"/>
      <c r="AE274" s="1495"/>
      <c r="AF274" s="1495"/>
      <c r="AG274" s="1495"/>
      <c r="AH274" s="1495"/>
      <c r="AI274" s="1495"/>
      <c r="AJ274" s="1495"/>
      <c r="AK274" s="1495"/>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588</v>
      </c>
      <c r="B276" s="4"/>
      <c r="C276" s="2" t="s">
        <v>294</v>
      </c>
      <c r="D276" s="4"/>
      <c r="E276" s="4"/>
      <c r="F276" s="4"/>
      <c r="G276" s="4"/>
      <c r="H276" s="4"/>
      <c r="I276" s="4"/>
      <c r="J276" s="4"/>
      <c r="K276" s="4"/>
      <c r="L276" s="4"/>
      <c r="M276" s="35"/>
      <c r="N276" s="35"/>
      <c r="O276" s="35"/>
      <c r="P276" s="35"/>
      <c r="Q276" s="35"/>
      <c r="T276" s="1467" t="str">
        <f>IFERROR(BO254,"")</f>
        <v>Joint Venture</v>
      </c>
      <c r="U276" s="1467"/>
      <c r="V276" s="1467"/>
      <c r="W276" s="1467"/>
      <c r="X276" s="1467"/>
      <c r="Z276" s="307" t="s">
        <v>952</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2.95" customHeight="1">
      <c r="A278" s="2" t="s">
        <v>590</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5" customHeight="1">
      <c r="A279" s="4"/>
      <c r="B279" s="36">
        <v>0</v>
      </c>
      <c r="D279" s="1438" t="s">
        <v>279</v>
      </c>
      <c r="E279" s="1438"/>
      <c r="F279" s="1438"/>
      <c r="G279" s="1438"/>
      <c r="H279" s="1438"/>
      <c r="J279" t="s">
        <v>278</v>
      </c>
      <c r="X279" s="1463" t="s">
        <v>589</v>
      </c>
      <c r="Y279" s="1463"/>
      <c r="Z279" s="1463"/>
      <c r="AA279" s="1463"/>
      <c r="AB279" s="1463"/>
      <c r="AC279" s="1463"/>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465</v>
      </c>
      <c r="B282" s="2"/>
      <c r="C282" s="2" t="s">
        <v>620</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493" t="s">
        <v>2763</v>
      </c>
      <c r="M283" s="1462"/>
      <c r="N283" s="1462"/>
      <c r="O283" s="1462"/>
      <c r="P283" s="1462"/>
      <c r="Q283" s="1462"/>
      <c r="R283" s="1462"/>
      <c r="S283" s="1462"/>
      <c r="T283" s="1462"/>
      <c r="U283" s="1462"/>
      <c r="V283" s="1462"/>
      <c r="W283" s="1462"/>
      <c r="X283" s="1462"/>
      <c r="Y283" s="1462"/>
      <c r="Z283" s="1462"/>
      <c r="AA283" s="1462"/>
      <c r="AB283" s="1462"/>
      <c r="AC283" s="1462"/>
      <c r="AD283" s="1462"/>
      <c r="AE283" s="1462"/>
      <c r="AF283" s="1462"/>
      <c r="AG283" s="1462"/>
      <c r="AH283" s="1462"/>
      <c r="AI283" s="1462"/>
      <c r="AJ283" s="1462"/>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38" t="s">
        <v>2667</v>
      </c>
      <c r="M284" s="1438"/>
      <c r="N284" s="1438"/>
      <c r="O284" s="1438"/>
      <c r="P284" s="1438"/>
      <c r="Q284" s="1438"/>
      <c r="R284" s="1438"/>
      <c r="S284" s="1438"/>
      <c r="T284" s="1438"/>
      <c r="U284" s="1438"/>
      <c r="V284" s="1438"/>
      <c r="W284" s="1438"/>
      <c r="X284" s="1438"/>
      <c r="Y284" s="1438"/>
      <c r="Z284" s="1438"/>
      <c r="AA284" s="1438"/>
      <c r="AB284" s="1438"/>
      <c r="AC284" s="1438"/>
      <c r="AD284" s="1438"/>
      <c r="AK284" s="3"/>
      <c r="AL284" s="3"/>
      <c r="AM284" s="3"/>
      <c r="AN284" s="3"/>
      <c r="AO284" s="3"/>
      <c r="AP284" s="3"/>
      <c r="AQ284" s="3"/>
      <c r="AR284" s="3"/>
      <c r="AS284" s="3"/>
      <c r="AT284" s="3"/>
      <c r="AU284" s="3"/>
      <c r="AV284" s="3"/>
      <c r="AW284" s="3"/>
      <c r="AX284" s="3"/>
      <c r="AY284" s="3"/>
    </row>
    <row r="285" spans="1:51" ht="12.95" customHeight="1">
      <c r="D285" s="4" t="s">
        <v>578</v>
      </c>
      <c r="E285" s="4"/>
      <c r="L285" s="1438" t="s">
        <v>2668</v>
      </c>
      <c r="M285" s="1438"/>
      <c r="N285" s="1438"/>
      <c r="O285" s="1438"/>
      <c r="P285" s="1438"/>
      <c r="Q285" s="1438"/>
      <c r="R285" s="1438"/>
      <c r="S285" s="1438"/>
      <c r="U285" s="33" t="s">
        <v>86</v>
      </c>
      <c r="V285" s="1336" t="s">
        <v>2662</v>
      </c>
      <c r="W285" s="1336"/>
      <c r="X285" s="4" t="s">
        <v>581</v>
      </c>
      <c r="AB285" s="1438">
        <v>90401</v>
      </c>
      <c r="AC285" s="1438"/>
      <c r="AD285" s="1438"/>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38" t="s">
        <v>2669</v>
      </c>
      <c r="M286" s="1438"/>
      <c r="N286" s="1438"/>
      <c r="O286" s="1438"/>
      <c r="P286" s="1438"/>
      <c r="Q286" s="1438"/>
      <c r="R286" s="1438"/>
      <c r="S286" s="1438"/>
      <c r="T286" s="1438"/>
      <c r="U286" s="1438"/>
      <c r="V286" s="1438"/>
      <c r="W286" s="1438"/>
      <c r="X286" s="1438"/>
      <c r="Y286" s="1438"/>
      <c r="Z286" s="1438"/>
      <c r="AA286" s="1438"/>
      <c r="AB286" s="1438"/>
      <c r="AC286" s="1438"/>
      <c r="AD286" s="1438"/>
      <c r="AI286" s="4"/>
      <c r="AJ286" s="4"/>
      <c r="AK286" s="3"/>
      <c r="AL286" s="3"/>
      <c r="AM286" s="3"/>
      <c r="AN286" s="3"/>
      <c r="AO286" s="3"/>
      <c r="AP286" s="3"/>
      <c r="AQ286" s="3"/>
      <c r="AR286" s="3"/>
      <c r="AS286" s="3"/>
      <c r="AT286" s="3"/>
    </row>
    <row r="287" spans="1:51" ht="12.95" customHeight="1">
      <c r="D287" s="4" t="s">
        <v>88</v>
      </c>
      <c r="E287" s="4"/>
      <c r="F287" s="4"/>
      <c r="L287" s="1310" t="s">
        <v>2670</v>
      </c>
      <c r="M287" s="1310"/>
      <c r="N287" s="1310"/>
      <c r="O287" s="1310"/>
      <c r="P287" s="1310"/>
      <c r="Q287" s="1310"/>
      <c r="R287" s="4" t="s">
        <v>205</v>
      </c>
      <c r="S287" s="4"/>
      <c r="T287" s="1336"/>
      <c r="U287" s="1336"/>
      <c r="V287" s="1336"/>
      <c r="W287" s="4" t="s">
        <v>89</v>
      </c>
      <c r="Y287" s="1310"/>
      <c r="Z287" s="1310"/>
      <c r="AA287" s="1310"/>
      <c r="AB287" s="1310"/>
      <c r="AC287" s="1310"/>
      <c r="AD287" s="1310"/>
    </row>
    <row r="288" spans="1:51" ht="12.95" customHeight="1">
      <c r="D288" s="4" t="s">
        <v>90</v>
      </c>
      <c r="E288" s="4"/>
      <c r="F288" s="4"/>
      <c r="L288" s="1464" t="s">
        <v>2671</v>
      </c>
      <c r="M288" s="1464"/>
      <c r="N288" s="1464"/>
      <c r="O288" s="1464"/>
      <c r="P288" s="1464"/>
      <c r="Q288" s="1464"/>
      <c r="R288" s="1464"/>
      <c r="S288" s="1464"/>
      <c r="T288" s="1464"/>
      <c r="U288" s="1464"/>
      <c r="V288" s="1464"/>
      <c r="W288" s="1464"/>
      <c r="X288" s="1464"/>
      <c r="Y288" s="1464"/>
      <c r="Z288" s="1464"/>
      <c r="AA288" s="1464"/>
      <c r="AB288" s="1464"/>
      <c r="AC288" s="1464"/>
      <c r="AD288" s="1464"/>
      <c r="AF288" s="4"/>
      <c r="AG288" s="4"/>
      <c r="AH288" s="4"/>
      <c r="AI288" s="4"/>
      <c r="AJ288" s="4"/>
      <c r="AU288" s="3"/>
      <c r="AV288" s="3"/>
      <c r="AW288" s="3"/>
      <c r="AX288" s="3"/>
      <c r="AY288" s="3"/>
    </row>
    <row r="289" spans="1:51" ht="12.95" customHeight="1">
      <c r="D289" s="3" t="s">
        <v>621</v>
      </c>
      <c r="E289" s="3"/>
      <c r="F289" s="3"/>
      <c r="G289" s="3"/>
      <c r="H289" s="3"/>
      <c r="I289" s="3"/>
      <c r="L289" s="1454" t="s">
        <v>2739</v>
      </c>
      <c r="M289" s="1454"/>
      <c r="N289" s="1454"/>
      <c r="O289" s="1454"/>
      <c r="P289" s="1454"/>
      <c r="Q289" s="1454"/>
      <c r="R289" s="1454"/>
      <c r="S289" s="1454"/>
      <c r="T289" s="1454"/>
      <c r="U289" s="1454"/>
      <c r="V289" s="1454"/>
      <c r="W289" s="1454"/>
      <c r="X289" s="1454"/>
      <c r="Y289" s="1454"/>
      <c r="Z289" s="1454"/>
      <c r="AA289" s="1454"/>
      <c r="AB289" s="1454"/>
      <c r="AC289" s="1454"/>
      <c r="AD289" s="1454"/>
      <c r="AK289" s="3"/>
      <c r="AL289" s="3"/>
      <c r="AM289" s="3"/>
      <c r="AN289" s="3"/>
      <c r="AO289" s="3"/>
      <c r="AP289" s="3"/>
      <c r="AQ289" s="3"/>
      <c r="AR289" s="3"/>
      <c r="AS289" s="3"/>
      <c r="AT289" s="3"/>
    </row>
    <row r="290" spans="1:51" ht="12.95" customHeight="1">
      <c r="L290" s="22" t="s">
        <v>622</v>
      </c>
      <c r="AU290" s="95"/>
      <c r="AV290" s="95"/>
      <c r="AW290" s="95"/>
      <c r="AX290" s="95"/>
      <c r="AY290" s="95"/>
    </row>
    <row r="291" spans="1:51" ht="12.95" customHeight="1">
      <c r="A291" s="1456" t="s">
        <v>539</v>
      </c>
      <c r="B291" s="1456"/>
      <c r="C291" s="1456"/>
      <c r="D291" s="1456"/>
      <c r="E291" s="1456"/>
      <c r="F291" s="1456"/>
      <c r="G291" s="1456"/>
      <c r="H291" s="1456"/>
      <c r="I291" s="1456"/>
      <c r="J291" s="1456"/>
      <c r="K291" s="1456"/>
      <c r="L291" s="1456"/>
      <c r="M291" s="1456"/>
      <c r="N291" s="1456"/>
      <c r="O291" s="1456"/>
      <c r="P291" s="1456"/>
      <c r="Q291" s="1456"/>
      <c r="R291" s="1456"/>
      <c r="S291" s="1456"/>
      <c r="T291" s="1456"/>
      <c r="U291" s="1456"/>
      <c r="V291" s="1456"/>
      <c r="W291" s="1456"/>
      <c r="X291" s="1456"/>
      <c r="Y291" s="1456"/>
      <c r="Z291" s="1456"/>
      <c r="AA291" s="1456"/>
      <c r="AB291" s="1456"/>
      <c r="AC291" s="1456"/>
      <c r="AD291" s="1456"/>
      <c r="AE291" s="1456"/>
      <c r="AF291" s="1456"/>
      <c r="AG291" s="1456"/>
      <c r="AH291" s="1456"/>
      <c r="AI291" s="1456"/>
      <c r="AJ291" s="1456"/>
      <c r="AK291" s="1456"/>
      <c r="AL291" s="1456"/>
      <c r="AM291" s="1456"/>
      <c r="AN291" s="1456"/>
      <c r="AO291" s="1456"/>
      <c r="AP291" s="1456"/>
      <c r="AQ291" s="1456"/>
      <c r="AR291" s="1456"/>
      <c r="AS291" s="1456"/>
      <c r="AT291" s="1456"/>
      <c r="AU291" s="95"/>
      <c r="AV291" s="95"/>
      <c r="AW291" s="95"/>
      <c r="AX291" s="95"/>
      <c r="AY291" s="95"/>
    </row>
    <row r="292" spans="1:51" ht="12.95" customHeight="1">
      <c r="A292" s="1456"/>
      <c r="B292" s="1456"/>
      <c r="C292" s="1456"/>
      <c r="D292" s="1456"/>
      <c r="E292" s="1456"/>
      <c r="F292" s="1456"/>
      <c r="G292" s="1456"/>
      <c r="H292" s="1456"/>
      <c r="I292" s="1456"/>
      <c r="J292" s="1456"/>
      <c r="K292" s="1456"/>
      <c r="L292" s="1456"/>
      <c r="M292" s="1456"/>
      <c r="N292" s="1456"/>
      <c r="O292" s="1456"/>
      <c r="P292" s="1456"/>
      <c r="Q292" s="1456"/>
      <c r="R292" s="1456"/>
      <c r="S292" s="1456"/>
      <c r="T292" s="1456"/>
      <c r="U292" s="1456"/>
      <c r="V292" s="1456"/>
      <c r="W292" s="1456"/>
      <c r="X292" s="1456"/>
      <c r="Y292" s="1456"/>
      <c r="Z292" s="1456"/>
      <c r="AA292" s="1456"/>
      <c r="AB292" s="1456"/>
      <c r="AC292" s="1456"/>
      <c r="AD292" s="1456"/>
      <c r="AE292" s="1456"/>
      <c r="AF292" s="1456"/>
      <c r="AG292" s="1456"/>
      <c r="AH292" s="1456"/>
      <c r="AI292" s="1456"/>
      <c r="AJ292" s="1456"/>
      <c r="AK292" s="1456"/>
      <c r="AL292" s="1456"/>
      <c r="AM292" s="1456"/>
      <c r="AN292" s="1456"/>
      <c r="AO292" s="1456"/>
      <c r="AP292" s="1456"/>
      <c r="AQ292" s="1456"/>
      <c r="AR292" s="1456"/>
      <c r="AS292" s="1456"/>
      <c r="AT292" s="1456"/>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624</v>
      </c>
      <c r="C296" s="3"/>
      <c r="D296" s="3"/>
      <c r="E296" s="3"/>
      <c r="F296" s="3"/>
      <c r="H296" s="1435" t="s">
        <v>2763</v>
      </c>
      <c r="I296" s="1348"/>
      <c r="J296" s="1348"/>
      <c r="K296" s="1348"/>
      <c r="L296" s="1348"/>
      <c r="M296" s="1348"/>
      <c r="N296" s="1348"/>
      <c r="O296" s="1348"/>
      <c r="P296" s="1348"/>
      <c r="Q296" s="1348"/>
      <c r="R296" s="1348"/>
      <c r="T296" s="3" t="s">
        <v>565</v>
      </c>
      <c r="V296" s="3"/>
      <c r="W296" s="3"/>
      <c r="X296" s="3"/>
      <c r="Y296" s="3"/>
      <c r="AA296" s="1348" t="s">
        <v>2703</v>
      </c>
      <c r="AB296" s="1348"/>
      <c r="AC296" s="1348"/>
      <c r="AD296" s="1348"/>
      <c r="AE296" s="1348"/>
      <c r="AF296" s="1348"/>
      <c r="AG296" s="1348"/>
      <c r="AH296" s="1348"/>
      <c r="AI296" s="1348"/>
      <c r="AJ296" s="1348"/>
      <c r="AK296" s="1348"/>
    </row>
    <row r="297" spans="1:51" ht="12.95" customHeight="1">
      <c r="B297" s="3" t="s">
        <v>469</v>
      </c>
      <c r="C297" s="3"/>
      <c r="D297" s="3"/>
      <c r="E297" s="3"/>
      <c r="F297" s="3"/>
      <c r="H297" s="1335" t="s">
        <v>2667</v>
      </c>
      <c r="I297" s="1335"/>
      <c r="J297" s="1335"/>
      <c r="K297" s="1335"/>
      <c r="L297" s="1335"/>
      <c r="M297" s="1335"/>
      <c r="N297" s="1335"/>
      <c r="O297" s="1335"/>
      <c r="P297" s="1335"/>
      <c r="Q297" s="1335"/>
      <c r="R297" s="1335"/>
      <c r="T297" s="3" t="s">
        <v>469</v>
      </c>
      <c r="V297" s="3"/>
      <c r="W297" s="3"/>
      <c r="X297" s="3"/>
      <c r="Y297" s="3"/>
      <c r="AA297" s="1335" t="s">
        <v>2704</v>
      </c>
      <c r="AB297" s="1335"/>
      <c r="AC297" s="1335"/>
      <c r="AD297" s="1335"/>
      <c r="AE297" s="1335"/>
      <c r="AF297" s="1335"/>
      <c r="AG297" s="1335"/>
      <c r="AH297" s="1335"/>
      <c r="AI297" s="1335"/>
      <c r="AJ297" s="1335"/>
      <c r="AK297" s="1335"/>
    </row>
    <row r="298" spans="1:51" ht="12.95" customHeight="1">
      <c r="B298" s="3" t="s">
        <v>470</v>
      </c>
      <c r="C298" s="3"/>
      <c r="D298" s="3"/>
      <c r="E298" s="3"/>
      <c r="F298" s="3"/>
      <c r="H298" s="1335" t="s">
        <v>2672</v>
      </c>
      <c r="I298" s="1335"/>
      <c r="J298" s="1335"/>
      <c r="K298" s="1335"/>
      <c r="L298" s="1335"/>
      <c r="M298" s="1335"/>
      <c r="N298" s="1335"/>
      <c r="O298" s="1335"/>
      <c r="P298" s="1335"/>
      <c r="Q298" s="1335"/>
      <c r="R298" s="1335"/>
      <c r="T298" s="3" t="s">
        <v>75</v>
      </c>
      <c r="V298" s="3"/>
      <c r="W298" s="3"/>
      <c r="X298" s="3"/>
      <c r="Y298" s="3"/>
      <c r="AA298" s="1335" t="s">
        <v>2705</v>
      </c>
      <c r="AB298" s="1335"/>
      <c r="AC298" s="1335"/>
      <c r="AD298" s="1335"/>
      <c r="AE298" s="1335"/>
      <c r="AF298" s="1335"/>
      <c r="AG298" s="1335"/>
      <c r="AH298" s="1335"/>
      <c r="AI298" s="1335"/>
      <c r="AJ298" s="1335"/>
      <c r="AK298" s="1335"/>
    </row>
    <row r="299" spans="1:51" ht="12.95" customHeight="1">
      <c r="B299" s="3" t="s">
        <v>87</v>
      </c>
      <c r="C299" s="3"/>
      <c r="D299" s="3"/>
      <c r="E299" s="3"/>
      <c r="F299" s="3"/>
      <c r="H299" s="1335" t="s">
        <v>2669</v>
      </c>
      <c r="I299" s="1335"/>
      <c r="J299" s="1335"/>
      <c r="K299" s="1335"/>
      <c r="L299" s="1335"/>
      <c r="M299" s="1335"/>
      <c r="N299" s="1335"/>
      <c r="O299" s="1335"/>
      <c r="P299" s="1335"/>
      <c r="Q299" s="1335"/>
      <c r="R299" s="1335"/>
      <c r="T299" s="3" t="s">
        <v>87</v>
      </c>
      <c r="V299" s="3"/>
      <c r="W299" s="3"/>
      <c r="X299" s="3"/>
      <c r="Y299" s="3"/>
      <c r="AA299" s="1335" t="s">
        <v>2701</v>
      </c>
      <c r="AB299" s="1335"/>
      <c r="AC299" s="1335"/>
      <c r="AD299" s="1335"/>
      <c r="AE299" s="1335"/>
      <c r="AF299" s="1335"/>
      <c r="AG299" s="1335"/>
      <c r="AH299" s="1335"/>
      <c r="AI299" s="1335"/>
      <c r="AJ299" s="1335"/>
      <c r="AK299" s="1335"/>
    </row>
    <row r="300" spans="1:51" ht="12.95" customHeight="1">
      <c r="B300" s="3" t="s">
        <v>88</v>
      </c>
      <c r="C300" s="3"/>
      <c r="D300" s="3"/>
      <c r="E300" s="3"/>
      <c r="F300" s="3"/>
      <c r="G300" s="3"/>
      <c r="H300" s="1468" t="s">
        <v>2670</v>
      </c>
      <c r="I300" s="1468"/>
      <c r="J300" s="1468"/>
      <c r="K300" s="1468"/>
      <c r="L300" s="1468"/>
      <c r="M300" s="1468"/>
      <c r="N300" s="4" t="s">
        <v>205</v>
      </c>
      <c r="O300" s="4"/>
      <c r="P300" s="1438"/>
      <c r="Q300" s="1438"/>
      <c r="R300" s="1438"/>
      <c r="S300" s="3"/>
      <c r="T300" s="3" t="s">
        <v>88</v>
      </c>
      <c r="V300" s="3"/>
      <c r="W300" s="3"/>
      <c r="X300" s="3"/>
      <c r="Y300" s="3"/>
      <c r="AA300" s="1468">
        <v>7146399860</v>
      </c>
      <c r="AB300" s="1468"/>
      <c r="AC300" s="1468"/>
      <c r="AD300" s="1468"/>
      <c r="AE300" s="1468"/>
      <c r="AF300" s="1468"/>
      <c r="AG300" s="4" t="s">
        <v>205</v>
      </c>
      <c r="AH300" s="4"/>
      <c r="AI300" s="1438"/>
      <c r="AJ300" s="1438"/>
      <c r="AK300" s="1438"/>
    </row>
    <row r="301" spans="1:51" ht="12.95" customHeight="1">
      <c r="B301" s="3" t="s">
        <v>89</v>
      </c>
      <c r="C301" s="3"/>
      <c r="D301" s="3"/>
      <c r="E301" s="3"/>
      <c r="F301" s="3"/>
      <c r="G301" s="3"/>
      <c r="H301" s="1310"/>
      <c r="I301" s="1310"/>
      <c r="J301" s="1310"/>
      <c r="K301" s="1310"/>
      <c r="L301" s="1310"/>
      <c r="M301" s="1310"/>
      <c r="N301" s="4"/>
      <c r="O301" s="4"/>
      <c r="P301" s="35"/>
      <c r="Q301" s="35"/>
      <c r="R301" s="35"/>
      <c r="S301" s="3"/>
      <c r="T301" s="3" t="s">
        <v>89</v>
      </c>
      <c r="V301" s="3"/>
      <c r="W301" s="3"/>
      <c r="X301" s="3"/>
      <c r="Y301" s="3"/>
      <c r="AA301" s="1310"/>
      <c r="AB301" s="1310"/>
      <c r="AC301" s="1310"/>
      <c r="AD301" s="1310"/>
      <c r="AE301" s="1310"/>
      <c r="AF301" s="1310"/>
      <c r="AG301" s="4"/>
      <c r="AH301" s="4"/>
      <c r="AI301" s="35"/>
      <c r="AJ301" s="35"/>
      <c r="AK301" s="35"/>
    </row>
    <row r="302" spans="1:51" ht="12.95" customHeight="1">
      <c r="B302" s="3" t="s">
        <v>76</v>
      </c>
      <c r="C302" s="3"/>
      <c r="D302" s="3"/>
      <c r="E302" s="3"/>
      <c r="F302" s="3"/>
      <c r="G302" s="3"/>
      <c r="H302" s="1335" t="s">
        <v>2671</v>
      </c>
      <c r="I302" s="1335"/>
      <c r="J302" s="1335"/>
      <c r="K302" s="1335"/>
      <c r="L302" s="1335"/>
      <c r="M302" s="1335"/>
      <c r="N302" s="1348"/>
      <c r="O302" s="1348"/>
      <c r="P302" s="1348"/>
      <c r="Q302" s="1348"/>
      <c r="R302" s="1348"/>
      <c r="S302" s="3"/>
      <c r="T302" s="3" t="s">
        <v>76</v>
      </c>
      <c r="V302" s="3"/>
      <c r="W302" s="3"/>
      <c r="X302" s="3"/>
      <c r="Y302" s="3"/>
      <c r="AA302" s="1335" t="s">
        <v>2702</v>
      </c>
      <c r="AB302" s="1335"/>
      <c r="AC302" s="1335"/>
      <c r="AD302" s="1335"/>
      <c r="AE302" s="1335"/>
      <c r="AF302" s="1335"/>
      <c r="AG302" s="1348"/>
      <c r="AH302" s="1348"/>
      <c r="AI302" s="1348"/>
      <c r="AJ302" s="1348"/>
      <c r="AK302" s="1348"/>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348" t="s">
        <v>2740</v>
      </c>
      <c r="I304" s="1348"/>
      <c r="J304" s="1348"/>
      <c r="K304" s="1348"/>
      <c r="L304" s="1348"/>
      <c r="M304" s="1348"/>
      <c r="N304" s="1348"/>
      <c r="O304" s="1348"/>
      <c r="P304" s="1348"/>
      <c r="Q304" s="1348"/>
      <c r="R304" s="1348"/>
      <c r="T304" s="3" t="s">
        <v>362</v>
      </c>
      <c r="V304" s="3"/>
      <c r="W304" s="3"/>
      <c r="X304" s="3"/>
      <c r="Y304" s="3"/>
      <c r="AA304" s="1348" t="s">
        <v>2706</v>
      </c>
      <c r="AB304" s="1348"/>
      <c r="AC304" s="1348"/>
      <c r="AD304" s="1348"/>
      <c r="AE304" s="1348"/>
      <c r="AF304" s="1348"/>
      <c r="AG304" s="1348"/>
      <c r="AH304" s="1348"/>
      <c r="AI304" s="1348"/>
      <c r="AJ304" s="1348"/>
      <c r="AK304" s="1348"/>
    </row>
    <row r="305" spans="2:72" ht="12.95" customHeight="1">
      <c r="B305" s="3" t="s">
        <v>469</v>
      </c>
      <c r="C305" s="3"/>
      <c r="D305" s="3"/>
      <c r="E305" s="3"/>
      <c r="F305" s="3"/>
      <c r="H305" s="1335" t="s">
        <v>2741</v>
      </c>
      <c r="I305" s="1335"/>
      <c r="J305" s="1335"/>
      <c r="K305" s="1335"/>
      <c r="L305" s="1335"/>
      <c r="M305" s="1335"/>
      <c r="N305" s="1335"/>
      <c r="O305" s="1335"/>
      <c r="P305" s="1335"/>
      <c r="Q305" s="1335"/>
      <c r="R305" s="1335"/>
      <c r="T305" s="3" t="s">
        <v>469</v>
      </c>
      <c r="V305" s="3"/>
      <c r="W305" s="3"/>
      <c r="X305" s="3"/>
      <c r="Y305" s="3"/>
      <c r="AA305" s="1335" t="s">
        <v>2707</v>
      </c>
      <c r="AB305" s="1335"/>
      <c r="AC305" s="1335"/>
      <c r="AD305" s="1335"/>
      <c r="AE305" s="1335"/>
      <c r="AF305" s="1335"/>
      <c r="AG305" s="1335"/>
      <c r="AH305" s="1335"/>
      <c r="AI305" s="1335"/>
      <c r="AJ305" s="1335"/>
      <c r="AK305" s="133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470</v>
      </c>
      <c r="C306" s="3"/>
      <c r="D306" s="3"/>
      <c r="E306" s="3"/>
      <c r="F306" s="3"/>
      <c r="H306" s="1335" t="s">
        <v>2742</v>
      </c>
      <c r="I306" s="1335"/>
      <c r="J306" s="1335"/>
      <c r="K306" s="1335"/>
      <c r="L306" s="1335"/>
      <c r="M306" s="1335"/>
      <c r="N306" s="1335"/>
      <c r="O306" s="1335"/>
      <c r="P306" s="1335"/>
      <c r="Q306" s="1335"/>
      <c r="R306" s="1335"/>
      <c r="T306" s="3" t="s">
        <v>75</v>
      </c>
      <c r="V306" s="3"/>
      <c r="W306" s="3"/>
      <c r="X306" s="3"/>
      <c r="Y306" s="3"/>
      <c r="AA306" s="1335" t="s">
        <v>2708</v>
      </c>
      <c r="AB306" s="1335"/>
      <c r="AC306" s="1335"/>
      <c r="AD306" s="1335"/>
      <c r="AE306" s="1335"/>
      <c r="AF306" s="1335"/>
      <c r="AG306" s="1335"/>
      <c r="AH306" s="1335"/>
      <c r="AI306" s="1335"/>
      <c r="AJ306" s="1335"/>
      <c r="AK306" s="133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35" t="s">
        <v>2743</v>
      </c>
      <c r="I307" s="1335"/>
      <c r="J307" s="1335"/>
      <c r="K307" s="1335"/>
      <c r="L307" s="1335"/>
      <c r="M307" s="1335"/>
      <c r="N307" s="1335"/>
      <c r="O307" s="1335"/>
      <c r="P307" s="1335"/>
      <c r="Q307" s="1335"/>
      <c r="R307" s="1335"/>
      <c r="T307" s="3" t="s">
        <v>87</v>
      </c>
      <c r="V307" s="3"/>
      <c r="W307" s="3"/>
      <c r="X307" s="3"/>
      <c r="Y307" s="3"/>
      <c r="AA307" s="1335" t="s">
        <v>2709</v>
      </c>
      <c r="AB307" s="1335"/>
      <c r="AC307" s="1335"/>
      <c r="AD307" s="1335"/>
      <c r="AE307" s="1335"/>
      <c r="AF307" s="1335"/>
      <c r="AG307" s="1335"/>
      <c r="AH307" s="1335"/>
      <c r="AI307" s="1335"/>
      <c r="AJ307" s="1335"/>
      <c r="AK307" s="1335"/>
    </row>
    <row r="308" spans="2:72" ht="12.95" customHeight="1">
      <c r="B308" s="3" t="s">
        <v>88</v>
      </c>
      <c r="C308" s="3"/>
      <c r="D308" s="3"/>
      <c r="E308" s="3"/>
      <c r="F308" s="3"/>
      <c r="G308" s="3"/>
      <c r="H308" s="1468">
        <v>6467221422</v>
      </c>
      <c r="I308" s="1468"/>
      <c r="J308" s="1468"/>
      <c r="K308" s="1468"/>
      <c r="L308" s="1468"/>
      <c r="M308" s="1468"/>
      <c r="N308" s="4" t="s">
        <v>205</v>
      </c>
      <c r="O308" s="4"/>
      <c r="P308" s="1438"/>
      <c r="Q308" s="1438"/>
      <c r="R308" s="1438"/>
      <c r="S308" s="3"/>
      <c r="T308" s="3" t="s">
        <v>88</v>
      </c>
      <c r="V308" s="3"/>
      <c r="W308" s="3"/>
      <c r="X308" s="3"/>
      <c r="Y308" s="3"/>
      <c r="AA308" s="1468" t="s">
        <v>2710</v>
      </c>
      <c r="AB308" s="1468"/>
      <c r="AC308" s="1468"/>
      <c r="AD308" s="1468"/>
      <c r="AE308" s="1468"/>
      <c r="AF308" s="1468"/>
      <c r="AG308" s="4" t="s">
        <v>205</v>
      </c>
      <c r="AH308" s="4"/>
      <c r="AI308" s="1438"/>
      <c r="AJ308" s="1438"/>
      <c r="AK308" s="1438"/>
    </row>
    <row r="309" spans="2:72" ht="12.95" customHeight="1">
      <c r="B309" s="3" t="s">
        <v>89</v>
      </c>
      <c r="C309" s="3"/>
      <c r="D309" s="3"/>
      <c r="E309" s="3"/>
      <c r="F309" s="3"/>
      <c r="G309" s="3"/>
      <c r="H309" s="1310"/>
      <c r="I309" s="1310"/>
      <c r="J309" s="1310"/>
      <c r="K309" s="1310"/>
      <c r="L309" s="1310"/>
      <c r="M309" s="1310"/>
      <c r="N309" s="4"/>
      <c r="O309" s="4"/>
      <c r="P309" s="35"/>
      <c r="Q309" s="35"/>
      <c r="R309" s="35"/>
      <c r="S309" s="3"/>
      <c r="T309" s="3" t="s">
        <v>89</v>
      </c>
      <c r="V309" s="3"/>
      <c r="W309" s="3"/>
      <c r="X309" s="3"/>
      <c r="Y309" s="3"/>
      <c r="AA309" s="1310"/>
      <c r="AB309" s="1310"/>
      <c r="AC309" s="1310"/>
      <c r="AD309" s="1310"/>
      <c r="AE309" s="1310"/>
      <c r="AF309" s="1310"/>
      <c r="AG309" s="4"/>
      <c r="AH309" s="4"/>
      <c r="AI309" s="35"/>
      <c r="AJ309" s="35"/>
      <c r="AK309" s="35"/>
    </row>
    <row r="310" spans="2:72" ht="12.95" customHeight="1">
      <c r="B310" s="3" t="s">
        <v>76</v>
      </c>
      <c r="C310" s="3"/>
      <c r="D310" s="3"/>
      <c r="E310" s="3"/>
      <c r="F310" s="3"/>
      <c r="G310" s="3"/>
      <c r="H310" s="1335" t="s">
        <v>2744</v>
      </c>
      <c r="I310" s="1335"/>
      <c r="J310" s="1335"/>
      <c r="K310" s="1335"/>
      <c r="L310" s="1335"/>
      <c r="M310" s="1335"/>
      <c r="N310" s="1348"/>
      <c r="O310" s="1348"/>
      <c r="P310" s="1348"/>
      <c r="Q310" s="1348"/>
      <c r="R310" s="1348"/>
      <c r="S310" s="3"/>
      <c r="T310" s="3" t="s">
        <v>76</v>
      </c>
      <c r="V310" s="3"/>
      <c r="W310" s="3"/>
      <c r="X310" s="3"/>
      <c r="Y310" s="3"/>
      <c r="AA310" s="1335" t="s">
        <v>2711</v>
      </c>
      <c r="AB310" s="1335"/>
      <c r="AC310" s="1335"/>
      <c r="AD310" s="1335"/>
      <c r="AE310" s="1335"/>
      <c r="AF310" s="1335"/>
      <c r="AG310" s="1348"/>
      <c r="AH310" s="1348"/>
      <c r="AI310" s="1348"/>
      <c r="AJ310" s="1348"/>
      <c r="AK310" s="1348"/>
    </row>
    <row r="311" spans="2:72" ht="12.95" customHeight="1"/>
    <row r="312" spans="2:72" ht="12.95" customHeight="1">
      <c r="B312" s="3" t="s">
        <v>77</v>
      </c>
      <c r="C312" s="3"/>
      <c r="D312" s="3"/>
      <c r="E312" s="3"/>
      <c r="F312" s="3"/>
      <c r="H312" s="1348" t="s">
        <v>2681</v>
      </c>
      <c r="I312" s="1348"/>
      <c r="J312" s="1348"/>
      <c r="K312" s="1348"/>
      <c r="L312" s="1348"/>
      <c r="M312" s="1348"/>
      <c r="N312" s="1348"/>
      <c r="O312" s="1348"/>
      <c r="P312" s="1348"/>
      <c r="Q312" s="1348"/>
      <c r="R312" s="1348"/>
      <c r="T312" s="4" t="s">
        <v>876</v>
      </c>
      <c r="V312" s="3"/>
      <c r="W312" s="3"/>
      <c r="X312" s="3"/>
      <c r="Y312" s="3"/>
      <c r="AA312" s="1348" t="s">
        <v>2745</v>
      </c>
      <c r="AB312" s="1348"/>
      <c r="AC312" s="1348"/>
      <c r="AD312" s="1348"/>
      <c r="AE312" s="1348"/>
      <c r="AF312" s="1348"/>
      <c r="AG312" s="1348"/>
      <c r="AH312" s="1348"/>
      <c r="AI312" s="1348"/>
      <c r="AJ312" s="1348"/>
      <c r="AK312" s="1348"/>
    </row>
    <row r="313" spans="2:72" ht="12.95" customHeight="1">
      <c r="B313" s="3" t="s">
        <v>469</v>
      </c>
      <c r="C313" s="3"/>
      <c r="D313" s="3"/>
      <c r="E313" s="3"/>
      <c r="F313" s="3"/>
      <c r="H313" s="1335" t="s">
        <v>2682</v>
      </c>
      <c r="I313" s="1335"/>
      <c r="J313" s="1335"/>
      <c r="K313" s="1335"/>
      <c r="L313" s="1335"/>
      <c r="M313" s="1335"/>
      <c r="N313" s="1335"/>
      <c r="O313" s="1335"/>
      <c r="P313" s="1335"/>
      <c r="Q313" s="1335"/>
      <c r="R313" s="1335"/>
      <c r="T313" s="3" t="s">
        <v>469</v>
      </c>
      <c r="V313" s="3"/>
      <c r="W313" s="3"/>
      <c r="X313" s="3"/>
      <c r="Y313" s="3"/>
      <c r="AA313" s="1335" t="s">
        <v>2746</v>
      </c>
      <c r="AB313" s="1335"/>
      <c r="AC313" s="1335"/>
      <c r="AD313" s="1335"/>
      <c r="AE313" s="1335"/>
      <c r="AF313" s="1335"/>
      <c r="AG313" s="1335"/>
      <c r="AH313" s="1335"/>
      <c r="AI313" s="1335"/>
      <c r="AJ313" s="1335"/>
      <c r="AK313" s="1335"/>
    </row>
    <row r="314" spans="2:72" ht="12.95" customHeight="1">
      <c r="B314" s="3" t="s">
        <v>470</v>
      </c>
      <c r="C314" s="3"/>
      <c r="D314" s="3"/>
      <c r="E314" s="3"/>
      <c r="F314" s="3"/>
      <c r="H314" s="1335" t="s">
        <v>2683</v>
      </c>
      <c r="I314" s="1335"/>
      <c r="J314" s="1335"/>
      <c r="K314" s="1335"/>
      <c r="L314" s="1335"/>
      <c r="M314" s="1335"/>
      <c r="N314" s="1335"/>
      <c r="O314" s="1335"/>
      <c r="P314" s="1335"/>
      <c r="Q314" s="1335"/>
      <c r="R314" s="1335"/>
      <c r="T314" s="3" t="s">
        <v>75</v>
      </c>
      <c r="V314" s="3"/>
      <c r="W314" s="3"/>
      <c r="X314" s="3"/>
      <c r="Y314" s="3"/>
      <c r="AA314" s="1335" t="s">
        <v>2747</v>
      </c>
      <c r="AB314" s="1335"/>
      <c r="AC314" s="1335"/>
      <c r="AD314" s="1335"/>
      <c r="AE314" s="1335"/>
      <c r="AF314" s="1335"/>
      <c r="AG314" s="1335"/>
      <c r="AH314" s="1335"/>
      <c r="AI314" s="1335"/>
      <c r="AJ314" s="1335"/>
      <c r="AK314" s="1335"/>
    </row>
    <row r="315" spans="2:72" ht="12.95" customHeight="1">
      <c r="B315" s="3" t="s">
        <v>87</v>
      </c>
      <c r="C315" s="3"/>
      <c r="D315" s="3"/>
      <c r="E315" s="3"/>
      <c r="F315" s="3"/>
      <c r="H315" s="1335" t="s">
        <v>2684</v>
      </c>
      <c r="I315" s="1335"/>
      <c r="J315" s="1335"/>
      <c r="K315" s="1335"/>
      <c r="L315" s="1335"/>
      <c r="M315" s="1335"/>
      <c r="N315" s="1335"/>
      <c r="O315" s="1335"/>
      <c r="P315" s="1335"/>
      <c r="Q315" s="1335"/>
      <c r="R315" s="1335"/>
      <c r="T315" s="3" t="s">
        <v>87</v>
      </c>
      <c r="V315" s="3"/>
      <c r="W315" s="3"/>
      <c r="X315" s="3"/>
      <c r="Y315" s="3"/>
      <c r="AA315" s="1335" t="s">
        <v>2748</v>
      </c>
      <c r="AB315" s="1335"/>
      <c r="AC315" s="1335"/>
      <c r="AD315" s="1335"/>
      <c r="AE315" s="1335"/>
      <c r="AF315" s="1335"/>
      <c r="AG315" s="1335"/>
      <c r="AH315" s="1335"/>
      <c r="AI315" s="1335"/>
      <c r="AJ315" s="1335"/>
      <c r="AK315" s="1335"/>
    </row>
    <row r="316" spans="2:72" ht="12.95" customHeight="1">
      <c r="B316" s="3" t="s">
        <v>88</v>
      </c>
      <c r="C316" s="3"/>
      <c r="D316" s="3"/>
      <c r="E316" s="3"/>
      <c r="F316" s="3"/>
      <c r="G316" s="3"/>
      <c r="H316" s="1468">
        <v>7705979514</v>
      </c>
      <c r="I316" s="1468"/>
      <c r="J316" s="1468"/>
      <c r="K316" s="1468"/>
      <c r="L316" s="1468"/>
      <c r="M316" s="1468"/>
      <c r="N316" s="4" t="s">
        <v>205</v>
      </c>
      <c r="O316" s="4"/>
      <c r="P316" s="1438"/>
      <c r="Q316" s="1438"/>
      <c r="R316" s="1438"/>
      <c r="S316" s="3"/>
      <c r="T316" s="3" t="s">
        <v>88</v>
      </c>
      <c r="V316" s="3"/>
      <c r="W316" s="3"/>
      <c r="X316" s="3"/>
      <c r="Y316" s="3"/>
      <c r="AA316" s="1468">
        <v>7147871593</v>
      </c>
      <c r="AB316" s="1468"/>
      <c r="AC316" s="1468"/>
      <c r="AD316" s="1468"/>
      <c r="AE316" s="1468"/>
      <c r="AF316" s="1468"/>
      <c r="AG316" s="4" t="s">
        <v>205</v>
      </c>
      <c r="AH316" s="4"/>
      <c r="AI316" s="1438"/>
      <c r="AJ316" s="1438"/>
      <c r="AK316" s="1438"/>
    </row>
    <row r="317" spans="2:72" ht="12.95" customHeight="1">
      <c r="B317" s="3" t="s">
        <v>89</v>
      </c>
      <c r="C317" s="3"/>
      <c r="D317" s="3"/>
      <c r="E317" s="3"/>
      <c r="F317" s="3"/>
      <c r="G317" s="3"/>
      <c r="H317" s="1310"/>
      <c r="I317" s="1310"/>
      <c r="J317" s="1310"/>
      <c r="K317" s="1310"/>
      <c r="L317" s="1310"/>
      <c r="M317" s="1310"/>
      <c r="N317" s="4"/>
      <c r="O317" s="4"/>
      <c r="P317" s="35"/>
      <c r="Q317" s="35"/>
      <c r="R317" s="35"/>
      <c r="S317" s="3"/>
      <c r="T317" s="3" t="s">
        <v>89</v>
      </c>
      <c r="V317" s="3"/>
      <c r="W317" s="3"/>
      <c r="X317" s="3"/>
      <c r="Y317" s="3"/>
      <c r="AA317" s="1310"/>
      <c r="AB317" s="1310"/>
      <c r="AC317" s="1310"/>
      <c r="AD317" s="1310"/>
      <c r="AE317" s="1310"/>
      <c r="AF317" s="1310"/>
      <c r="AG317" s="4"/>
      <c r="AH317" s="4"/>
      <c r="AI317" s="35"/>
      <c r="AJ317" s="35"/>
      <c r="AK317" s="35"/>
    </row>
    <row r="318" spans="2:72" ht="12.95" customHeight="1">
      <c r="B318" s="3" t="s">
        <v>76</v>
      </c>
      <c r="C318" s="3"/>
      <c r="D318" s="3"/>
      <c r="E318" s="3"/>
      <c r="F318" s="3"/>
      <c r="G318" s="3"/>
      <c r="H318" s="1335" t="s">
        <v>2685</v>
      </c>
      <c r="I318" s="1335"/>
      <c r="J318" s="1335"/>
      <c r="K318" s="1335"/>
      <c r="L318" s="1335"/>
      <c r="M318" s="1335"/>
      <c r="N318" s="1348"/>
      <c r="O318" s="1348"/>
      <c r="P318" s="1348"/>
      <c r="Q318" s="1348"/>
      <c r="R318" s="1348"/>
      <c r="S318" s="3"/>
      <c r="T318" s="3" t="s">
        <v>76</v>
      </c>
      <c r="V318" s="3"/>
      <c r="W318" s="3"/>
      <c r="X318" s="3"/>
      <c r="Y318" s="3"/>
      <c r="AA318" s="1335" t="s">
        <v>2749</v>
      </c>
      <c r="AB318" s="1335"/>
      <c r="AC318" s="1335"/>
      <c r="AD318" s="1335"/>
      <c r="AE318" s="1335"/>
      <c r="AF318" s="1335"/>
      <c r="AG318" s="1348"/>
      <c r="AH318" s="1348"/>
      <c r="AI318" s="1348"/>
      <c r="AJ318" s="1348"/>
      <c r="AK318" s="1348"/>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905</v>
      </c>
      <c r="C320" s="3"/>
      <c r="D320" s="3"/>
      <c r="E320" s="3"/>
      <c r="F320" s="3"/>
      <c r="H320" s="1348" t="s">
        <v>2681</v>
      </c>
      <c r="I320" s="1348"/>
      <c r="J320" s="1348"/>
      <c r="K320" s="1348"/>
      <c r="L320" s="1348"/>
      <c r="M320" s="1348"/>
      <c r="N320" s="1348"/>
      <c r="O320" s="1348"/>
      <c r="P320" s="1348"/>
      <c r="Q320" s="1348"/>
      <c r="R320" s="1348"/>
      <c r="S320" s="3"/>
      <c r="T320" s="3" t="s">
        <v>363</v>
      </c>
      <c r="V320" s="3"/>
      <c r="W320" s="3"/>
      <c r="X320" s="3"/>
      <c r="Y320" s="3"/>
      <c r="AA320" s="1348" t="s">
        <v>2696</v>
      </c>
      <c r="AB320" s="1348"/>
      <c r="AC320" s="1348"/>
      <c r="AD320" s="1348"/>
      <c r="AE320" s="1348"/>
      <c r="AF320" s="1348"/>
      <c r="AG320" s="1348"/>
      <c r="AH320" s="1348"/>
      <c r="AI320" s="1348"/>
      <c r="AJ320" s="1348"/>
      <c r="AK320" s="1348"/>
    </row>
    <row r="321" spans="2:37" ht="12.95" customHeight="1">
      <c r="B321" s="3" t="s">
        <v>469</v>
      </c>
      <c r="C321" s="3"/>
      <c r="D321" s="3"/>
      <c r="E321" s="3"/>
      <c r="F321" s="3"/>
      <c r="H321" s="1335" t="s">
        <v>2682</v>
      </c>
      <c r="I321" s="1335"/>
      <c r="J321" s="1335"/>
      <c r="K321" s="1335"/>
      <c r="L321" s="1335"/>
      <c r="M321" s="1335"/>
      <c r="N321" s="1335"/>
      <c r="O321" s="1335"/>
      <c r="P321" s="1335"/>
      <c r="Q321" s="1335"/>
      <c r="R321" s="1335"/>
      <c r="S321" s="3"/>
      <c r="T321" s="3" t="s">
        <v>469</v>
      </c>
      <c r="V321" s="3"/>
      <c r="W321" s="3"/>
      <c r="X321" s="3"/>
      <c r="Y321" s="3"/>
      <c r="AA321" s="1335" t="s">
        <v>2697</v>
      </c>
      <c r="AB321" s="1335"/>
      <c r="AC321" s="1335"/>
      <c r="AD321" s="1335"/>
      <c r="AE321" s="1335"/>
      <c r="AF321" s="1335"/>
      <c r="AG321" s="1335"/>
      <c r="AH321" s="1335"/>
      <c r="AI321" s="1335"/>
      <c r="AJ321" s="1335"/>
      <c r="AK321" s="1335"/>
    </row>
    <row r="322" spans="2:37" ht="12.95" customHeight="1">
      <c r="B322" s="3" t="s">
        <v>470</v>
      </c>
      <c r="C322" s="3"/>
      <c r="D322" s="3"/>
      <c r="E322" s="3"/>
      <c r="F322" s="3"/>
      <c r="H322" s="1335" t="s">
        <v>2683</v>
      </c>
      <c r="I322" s="1335"/>
      <c r="J322" s="1335"/>
      <c r="K322" s="1335"/>
      <c r="L322" s="1335"/>
      <c r="M322" s="1335"/>
      <c r="N322" s="1335"/>
      <c r="O322" s="1335"/>
      <c r="P322" s="1335"/>
      <c r="Q322" s="1335"/>
      <c r="R322" s="1335"/>
      <c r="S322" s="3"/>
      <c r="T322" s="3" t="s">
        <v>75</v>
      </c>
      <c r="V322" s="3"/>
      <c r="W322" s="3"/>
      <c r="X322" s="3"/>
      <c r="Y322" s="3"/>
      <c r="AA322" s="1335" t="s">
        <v>2698</v>
      </c>
      <c r="AB322" s="1335"/>
      <c r="AC322" s="1335"/>
      <c r="AD322" s="1335"/>
      <c r="AE322" s="1335"/>
      <c r="AF322" s="1335"/>
      <c r="AG322" s="1335"/>
      <c r="AH322" s="1335"/>
      <c r="AI322" s="1335"/>
      <c r="AJ322" s="1335"/>
      <c r="AK322" s="1335"/>
    </row>
    <row r="323" spans="2:37" ht="12.95" customHeight="1">
      <c r="B323" s="3" t="s">
        <v>87</v>
      </c>
      <c r="C323" s="3"/>
      <c r="D323" s="3"/>
      <c r="E323" s="3"/>
      <c r="F323" s="3"/>
      <c r="H323" s="1335" t="s">
        <v>2684</v>
      </c>
      <c r="I323" s="1335"/>
      <c r="J323" s="1335"/>
      <c r="K323" s="1335"/>
      <c r="L323" s="1335"/>
      <c r="M323" s="1335"/>
      <c r="N323" s="1335"/>
      <c r="O323" s="1335"/>
      <c r="P323" s="1335"/>
      <c r="Q323" s="1335"/>
      <c r="R323" s="1335"/>
      <c r="S323" s="3"/>
      <c r="T323" s="3" t="s">
        <v>87</v>
      </c>
      <c r="V323" s="3"/>
      <c r="W323" s="3"/>
      <c r="X323" s="3"/>
      <c r="Y323" s="3"/>
      <c r="AA323" s="1335" t="s">
        <v>2699</v>
      </c>
      <c r="AB323" s="1335"/>
      <c r="AC323" s="1335"/>
      <c r="AD323" s="1335"/>
      <c r="AE323" s="1335"/>
      <c r="AF323" s="1335"/>
      <c r="AG323" s="1335"/>
      <c r="AH323" s="1335"/>
      <c r="AI323" s="1335"/>
      <c r="AJ323" s="1335"/>
      <c r="AK323" s="1335"/>
    </row>
    <row r="324" spans="2:37" ht="12.95" customHeight="1">
      <c r="B324" s="3" t="s">
        <v>88</v>
      </c>
      <c r="C324" s="3"/>
      <c r="D324" s="3"/>
      <c r="E324" s="3"/>
      <c r="F324" s="3"/>
      <c r="G324" s="3"/>
      <c r="H324" s="1468">
        <v>7705979514</v>
      </c>
      <c r="I324" s="1468"/>
      <c r="J324" s="1468"/>
      <c r="K324" s="1468"/>
      <c r="L324" s="1468"/>
      <c r="M324" s="1468"/>
      <c r="N324" s="4" t="s">
        <v>205</v>
      </c>
      <c r="O324" s="4"/>
      <c r="P324" s="1438"/>
      <c r="Q324" s="1438"/>
      <c r="R324" s="1438"/>
      <c r="S324" s="3"/>
      <c r="T324" s="3" t="s">
        <v>88</v>
      </c>
      <c r="V324" s="3"/>
      <c r="W324" s="3"/>
      <c r="X324" s="3"/>
      <c r="Y324" s="3"/>
      <c r="AA324" s="1468">
        <v>3143353355</v>
      </c>
      <c r="AB324" s="1468"/>
      <c r="AC324" s="1468"/>
      <c r="AD324" s="1468"/>
      <c r="AE324" s="1468"/>
      <c r="AF324" s="1468"/>
      <c r="AG324" s="4" t="s">
        <v>205</v>
      </c>
      <c r="AH324" s="4"/>
      <c r="AI324" s="1438"/>
      <c r="AJ324" s="1438"/>
      <c r="AK324" s="1438"/>
    </row>
    <row r="325" spans="2:37" ht="12.95" customHeight="1">
      <c r="B325" s="3" t="s">
        <v>89</v>
      </c>
      <c r="C325" s="3"/>
      <c r="D325" s="3"/>
      <c r="E325" s="3"/>
      <c r="F325" s="3"/>
      <c r="G325" s="3"/>
      <c r="H325" s="1310"/>
      <c r="I325" s="1310"/>
      <c r="J325" s="1310"/>
      <c r="K325" s="1310"/>
      <c r="L325" s="1310"/>
      <c r="M325" s="1310"/>
      <c r="N325" s="4"/>
      <c r="O325" s="4"/>
      <c r="P325" s="35"/>
      <c r="Q325" s="35"/>
      <c r="R325" s="35"/>
      <c r="S325" s="3"/>
      <c r="T325" s="3" t="s">
        <v>89</v>
      </c>
      <c r="V325" s="3"/>
      <c r="W325" s="3"/>
      <c r="X325" s="3"/>
      <c r="Y325" s="3"/>
      <c r="AA325" s="1310"/>
      <c r="AB325" s="1310"/>
      <c r="AC325" s="1310"/>
      <c r="AD325" s="1310"/>
      <c r="AE325" s="1310"/>
      <c r="AF325" s="1310"/>
      <c r="AG325" s="4"/>
      <c r="AH325" s="4"/>
      <c r="AI325" s="35"/>
      <c r="AJ325" s="35"/>
      <c r="AK325" s="35"/>
    </row>
    <row r="326" spans="2:37" ht="12.95" customHeight="1">
      <c r="B326" s="3" t="s">
        <v>76</v>
      </c>
      <c r="C326" s="3"/>
      <c r="D326" s="3"/>
      <c r="E326" s="3"/>
      <c r="F326" s="3"/>
      <c r="G326" s="3"/>
      <c r="H326" s="1335" t="s">
        <v>2685</v>
      </c>
      <c r="I326" s="1335"/>
      <c r="J326" s="1335"/>
      <c r="K326" s="1335"/>
      <c r="L326" s="1335"/>
      <c r="M326" s="1335"/>
      <c r="N326" s="1348"/>
      <c r="O326" s="1348"/>
      <c r="P326" s="1348"/>
      <c r="Q326" s="1348"/>
      <c r="R326" s="1348"/>
      <c r="S326" s="3"/>
      <c r="T326" s="3" t="s">
        <v>76</v>
      </c>
      <c r="V326" s="3"/>
      <c r="W326" s="3"/>
      <c r="X326" s="3"/>
      <c r="Y326" s="3"/>
      <c r="AA326" s="1335" t="s">
        <v>2700</v>
      </c>
      <c r="AB326" s="1335"/>
      <c r="AC326" s="1335"/>
      <c r="AD326" s="1335"/>
      <c r="AE326" s="1335"/>
      <c r="AF326" s="1335"/>
      <c r="AG326" s="1348"/>
      <c r="AH326" s="1348"/>
      <c r="AI326" s="1348"/>
      <c r="AJ326" s="1348"/>
      <c r="AK326" s="1348"/>
    </row>
    <row r="327" spans="2:37" ht="12.95" customHeight="1"/>
    <row r="328" spans="2:37" ht="12.95" customHeight="1">
      <c r="B328" s="4" t="s">
        <v>906</v>
      </c>
      <c r="C328" s="3"/>
      <c r="D328" s="3"/>
      <c r="E328" s="3"/>
      <c r="F328" s="3"/>
      <c r="H328" s="1348"/>
      <c r="I328" s="1348"/>
      <c r="J328" s="1348"/>
      <c r="K328" s="1348"/>
      <c r="L328" s="1348"/>
      <c r="M328" s="1348"/>
      <c r="N328" s="1348"/>
      <c r="O328" s="1348"/>
      <c r="P328" s="1348"/>
      <c r="Q328" s="1348"/>
      <c r="R328" s="1348"/>
      <c r="T328" s="3" t="s">
        <v>364</v>
      </c>
      <c r="V328" s="3"/>
      <c r="W328" s="3"/>
      <c r="X328" s="3"/>
      <c r="Y328" s="3"/>
      <c r="AA328" s="1348" t="s">
        <v>2673</v>
      </c>
      <c r="AB328" s="1348"/>
      <c r="AC328" s="1348"/>
      <c r="AD328" s="1348"/>
      <c r="AE328" s="1348"/>
      <c r="AF328" s="1348"/>
      <c r="AG328" s="1348"/>
      <c r="AH328" s="1348"/>
      <c r="AI328" s="1348"/>
      <c r="AJ328" s="1348"/>
      <c r="AK328" s="1348"/>
    </row>
    <row r="329" spans="2:37" ht="12.95" customHeight="1">
      <c r="B329" s="3" t="s">
        <v>469</v>
      </c>
      <c r="C329" s="3"/>
      <c r="D329" s="3"/>
      <c r="E329" s="3"/>
      <c r="F329" s="3"/>
      <c r="H329" s="1335"/>
      <c r="I329" s="1335"/>
      <c r="J329" s="1335"/>
      <c r="K329" s="1335"/>
      <c r="L329" s="1335"/>
      <c r="M329" s="1335"/>
      <c r="N329" s="1335"/>
      <c r="O329" s="1335"/>
      <c r="P329" s="1335"/>
      <c r="Q329" s="1335"/>
      <c r="R329" s="1335"/>
      <c r="T329" s="3" t="s">
        <v>469</v>
      </c>
      <c r="V329" s="3"/>
      <c r="W329" s="3"/>
      <c r="X329" s="3"/>
      <c r="Y329" s="3"/>
      <c r="AA329" s="1335" t="s">
        <v>2674</v>
      </c>
      <c r="AB329" s="1335"/>
      <c r="AC329" s="1335"/>
      <c r="AD329" s="1335"/>
      <c r="AE329" s="1335"/>
      <c r="AF329" s="1335"/>
      <c r="AG329" s="1335"/>
      <c r="AH329" s="1335"/>
      <c r="AI329" s="1335"/>
      <c r="AJ329" s="1335"/>
      <c r="AK329" s="1335"/>
    </row>
    <row r="330" spans="2:37" ht="12.95" customHeight="1">
      <c r="B330" s="3" t="s">
        <v>470</v>
      </c>
      <c r="C330" s="3"/>
      <c r="D330" s="3"/>
      <c r="E330" s="3"/>
      <c r="F330" s="3"/>
      <c r="H330" s="1335"/>
      <c r="I330" s="1335"/>
      <c r="J330" s="1335"/>
      <c r="K330" s="1335"/>
      <c r="L330" s="1335"/>
      <c r="M330" s="1335"/>
      <c r="N330" s="1335"/>
      <c r="O330" s="1335"/>
      <c r="P330" s="1335"/>
      <c r="Q330" s="1335"/>
      <c r="R330" s="1335"/>
      <c r="T330" s="3" t="s">
        <v>75</v>
      </c>
      <c r="V330" s="3"/>
      <c r="W330" s="3"/>
      <c r="X330" s="3"/>
      <c r="Y330" s="3"/>
      <c r="AA330" s="1335" t="s">
        <v>2675</v>
      </c>
      <c r="AB330" s="1335"/>
      <c r="AC330" s="1335"/>
      <c r="AD330" s="1335"/>
      <c r="AE330" s="1335"/>
      <c r="AF330" s="1335"/>
      <c r="AG330" s="1335"/>
      <c r="AH330" s="1335"/>
      <c r="AI330" s="1335"/>
      <c r="AJ330" s="1335"/>
      <c r="AK330" s="1335"/>
    </row>
    <row r="331" spans="2:37" ht="12.95" customHeight="1">
      <c r="B331" s="3" t="s">
        <v>87</v>
      </c>
      <c r="C331" s="3"/>
      <c r="D331" s="3"/>
      <c r="E331" s="3"/>
      <c r="F331" s="3"/>
      <c r="H331" s="1335"/>
      <c r="I331" s="1335"/>
      <c r="J331" s="1335"/>
      <c r="K331" s="1335"/>
      <c r="L331" s="1335"/>
      <c r="M331" s="1335"/>
      <c r="N331" s="1335"/>
      <c r="O331" s="1335"/>
      <c r="P331" s="1335"/>
      <c r="Q331" s="1335"/>
      <c r="R331" s="1335"/>
      <c r="T331" s="3" t="s">
        <v>87</v>
      </c>
      <c r="V331" s="3"/>
      <c r="W331" s="3"/>
      <c r="X331" s="3"/>
      <c r="Y331" s="3"/>
      <c r="AA331" s="1335" t="s">
        <v>2676</v>
      </c>
      <c r="AB331" s="1335"/>
      <c r="AC331" s="1335"/>
      <c r="AD331" s="1335"/>
      <c r="AE331" s="1335"/>
      <c r="AF331" s="1335"/>
      <c r="AG331" s="1335"/>
      <c r="AH331" s="1335"/>
      <c r="AI331" s="1335"/>
      <c r="AJ331" s="1335"/>
      <c r="AK331" s="1335"/>
    </row>
    <row r="332" spans="2:37" ht="12.95" customHeight="1">
      <c r="B332" s="3" t="s">
        <v>88</v>
      </c>
      <c r="C332" s="3"/>
      <c r="D332" s="3"/>
      <c r="E332" s="3"/>
      <c r="F332" s="3"/>
      <c r="G332" s="3"/>
      <c r="H332" s="1468"/>
      <c r="I332" s="1468"/>
      <c r="J332" s="1468"/>
      <c r="K332" s="1468"/>
      <c r="L332" s="1468"/>
      <c r="M332" s="1468"/>
      <c r="N332" s="4" t="s">
        <v>205</v>
      </c>
      <c r="O332" s="4"/>
      <c r="P332" s="1438"/>
      <c r="Q332" s="1438"/>
      <c r="R332" s="1438"/>
      <c r="S332" s="3"/>
      <c r="T332" s="3" t="s">
        <v>88</v>
      </c>
      <c r="V332" s="3"/>
      <c r="W332" s="3"/>
      <c r="X332" s="3"/>
      <c r="Y332" s="3"/>
      <c r="AA332" s="1468" t="s">
        <v>2677</v>
      </c>
      <c r="AB332" s="1468"/>
      <c r="AC332" s="1468"/>
      <c r="AD332" s="1468"/>
      <c r="AE332" s="1468"/>
      <c r="AF332" s="1468"/>
      <c r="AG332" s="4" t="s">
        <v>205</v>
      </c>
      <c r="AH332" s="4"/>
      <c r="AI332" s="1438"/>
      <c r="AJ332" s="1438"/>
      <c r="AK332" s="1438"/>
    </row>
    <row r="333" spans="2:37" ht="12.95" customHeight="1">
      <c r="B333" s="3" t="s">
        <v>89</v>
      </c>
      <c r="C333" s="3"/>
      <c r="D333" s="3"/>
      <c r="E333" s="3"/>
      <c r="F333" s="3"/>
      <c r="G333" s="3"/>
      <c r="H333" s="1310"/>
      <c r="I333" s="1310"/>
      <c r="J333" s="1310"/>
      <c r="K333" s="1310"/>
      <c r="L333" s="1310"/>
      <c r="M333" s="1310"/>
      <c r="N333" s="4"/>
      <c r="O333" s="4"/>
      <c r="P333" s="35"/>
      <c r="Q333" s="35"/>
      <c r="R333" s="35"/>
      <c r="S333" s="3"/>
      <c r="T333" s="3" t="s">
        <v>89</v>
      </c>
      <c r="V333" s="3"/>
      <c r="W333" s="3"/>
      <c r="X333" s="3"/>
      <c r="Y333" s="3"/>
      <c r="AA333" s="1310">
        <v>8169685890</v>
      </c>
      <c r="AB333" s="1310"/>
      <c r="AC333" s="1310"/>
      <c r="AD333" s="1310"/>
      <c r="AE333" s="1310"/>
      <c r="AF333" s="1310"/>
      <c r="AG333" s="4"/>
      <c r="AH333" s="4"/>
      <c r="AI333" s="35"/>
      <c r="AJ333" s="35"/>
      <c r="AK333" s="35"/>
    </row>
    <row r="334" spans="2:37" ht="12.95" customHeight="1">
      <c r="B334" s="3" t="s">
        <v>76</v>
      </c>
      <c r="C334" s="3"/>
      <c r="D334" s="3"/>
      <c r="E334" s="3"/>
      <c r="F334" s="3"/>
      <c r="G334" s="3"/>
      <c r="H334" s="1335"/>
      <c r="I334" s="1335"/>
      <c r="J334" s="1335"/>
      <c r="K334" s="1335"/>
      <c r="L334" s="1335"/>
      <c r="M334" s="1335"/>
      <c r="N334" s="1348"/>
      <c r="O334" s="1348"/>
      <c r="P334" s="1348"/>
      <c r="Q334" s="1348"/>
      <c r="R334" s="1348"/>
      <c r="S334" s="3"/>
      <c r="T334" s="3" t="s">
        <v>76</v>
      </c>
      <c r="V334" s="3"/>
      <c r="W334" s="3"/>
      <c r="X334" s="3"/>
      <c r="Y334" s="3"/>
      <c r="AA334" s="1335" t="s">
        <v>2678</v>
      </c>
      <c r="AB334" s="1335"/>
      <c r="AC334" s="1335"/>
      <c r="AD334" s="1335"/>
      <c r="AE334" s="1335"/>
      <c r="AF334" s="1335"/>
      <c r="AG334" s="1348"/>
      <c r="AH334" s="1348"/>
      <c r="AI334" s="1348"/>
      <c r="AJ334" s="1348"/>
      <c r="AK334" s="1348"/>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365</v>
      </c>
      <c r="C336" s="3"/>
      <c r="D336" s="3"/>
      <c r="E336" s="3"/>
      <c r="F336" s="3"/>
      <c r="H336" s="1348" t="s">
        <v>2673</v>
      </c>
      <c r="I336" s="1348"/>
      <c r="J336" s="1348"/>
      <c r="K336" s="1348"/>
      <c r="L336" s="1348"/>
      <c r="M336" s="1348"/>
      <c r="N336" s="1348"/>
      <c r="O336" s="1348"/>
      <c r="P336" s="1348"/>
      <c r="Q336" s="1348"/>
      <c r="R336" s="1348"/>
      <c r="T336" s="3" t="s">
        <v>366</v>
      </c>
      <c r="V336" s="3"/>
      <c r="W336" s="3"/>
      <c r="X336" s="3"/>
      <c r="Y336" s="3"/>
      <c r="AA336" s="1348"/>
      <c r="AB336" s="1348"/>
      <c r="AC336" s="1348"/>
      <c r="AD336" s="1348"/>
      <c r="AE336" s="1348"/>
      <c r="AF336" s="1348"/>
      <c r="AG336" s="1348"/>
      <c r="AH336" s="1348"/>
      <c r="AI336" s="1348"/>
      <c r="AJ336" s="1348"/>
      <c r="AK336" s="1348"/>
    </row>
    <row r="337" spans="2:66" ht="12.95" customHeight="1">
      <c r="B337" s="3" t="s">
        <v>469</v>
      </c>
      <c r="C337" s="3"/>
      <c r="D337" s="3"/>
      <c r="E337" s="3"/>
      <c r="F337" s="3"/>
      <c r="H337" s="1335" t="s">
        <v>2679</v>
      </c>
      <c r="I337" s="1335"/>
      <c r="J337" s="1335"/>
      <c r="K337" s="1335"/>
      <c r="L337" s="1335"/>
      <c r="M337" s="1335"/>
      <c r="N337" s="1335"/>
      <c r="O337" s="1335"/>
      <c r="P337" s="1335"/>
      <c r="Q337" s="1335"/>
      <c r="R337" s="1335"/>
      <c r="T337" s="3" t="s">
        <v>469</v>
      </c>
      <c r="V337" s="3"/>
      <c r="W337" s="3"/>
      <c r="X337" s="3"/>
      <c r="Y337" s="3"/>
      <c r="AA337" s="1335"/>
      <c r="AB337" s="1335"/>
      <c r="AC337" s="1335"/>
      <c r="AD337" s="1335"/>
      <c r="AE337" s="1335"/>
      <c r="AF337" s="1335"/>
      <c r="AG337" s="1335"/>
      <c r="AH337" s="1335"/>
      <c r="AI337" s="1335"/>
      <c r="AJ337" s="1335"/>
      <c r="AK337" s="1335"/>
    </row>
    <row r="338" spans="2:66" ht="12.95" customHeight="1">
      <c r="B338" s="3" t="s">
        <v>470</v>
      </c>
      <c r="C338" s="3"/>
      <c r="D338" s="3"/>
      <c r="E338" s="3"/>
      <c r="F338" s="3"/>
      <c r="H338" s="1335" t="s">
        <v>2675</v>
      </c>
      <c r="I338" s="1335"/>
      <c r="J338" s="1335"/>
      <c r="K338" s="1335"/>
      <c r="L338" s="1335"/>
      <c r="M338" s="1335"/>
      <c r="N338" s="1335"/>
      <c r="O338" s="1335"/>
      <c r="P338" s="1335"/>
      <c r="Q338" s="1335"/>
      <c r="R338" s="1335"/>
      <c r="T338" s="3" t="s">
        <v>75</v>
      </c>
      <c r="V338" s="3"/>
      <c r="W338" s="3"/>
      <c r="X338" s="3"/>
      <c r="Y338" s="3"/>
      <c r="AA338" s="1335"/>
      <c r="AB338" s="1335"/>
      <c r="AC338" s="1335"/>
      <c r="AD338" s="1335"/>
      <c r="AE338" s="1335"/>
      <c r="AF338" s="1335"/>
      <c r="AG338" s="1335"/>
      <c r="AH338" s="1335"/>
      <c r="AI338" s="1335"/>
      <c r="AJ338" s="1335"/>
      <c r="AK338" s="1335"/>
    </row>
    <row r="339" spans="2:66" ht="12.95" customHeight="1">
      <c r="B339" s="3" t="s">
        <v>87</v>
      </c>
      <c r="C339" s="3"/>
      <c r="D339" s="3"/>
      <c r="E339" s="3"/>
      <c r="F339" s="3"/>
      <c r="H339" s="1335" t="s">
        <v>2680</v>
      </c>
      <c r="I339" s="1335"/>
      <c r="J339" s="1335"/>
      <c r="K339" s="1335"/>
      <c r="L339" s="1335"/>
      <c r="M339" s="1335"/>
      <c r="N339" s="1335"/>
      <c r="O339" s="1335"/>
      <c r="P339" s="1335"/>
      <c r="Q339" s="1335"/>
      <c r="R339" s="1335"/>
      <c r="T339" s="3" t="s">
        <v>87</v>
      </c>
      <c r="V339" s="3"/>
      <c r="W339" s="3"/>
      <c r="X339" s="3"/>
      <c r="Y339" s="3"/>
      <c r="AA339" s="1335"/>
      <c r="AB339" s="1335"/>
      <c r="AC339" s="1335"/>
      <c r="AD339" s="1335"/>
      <c r="AE339" s="1335"/>
      <c r="AF339" s="1335"/>
      <c r="AG339" s="1335"/>
      <c r="AH339" s="1335"/>
      <c r="AI339" s="1335"/>
      <c r="AJ339" s="1335"/>
      <c r="AK339" s="1335"/>
    </row>
    <row r="340" spans="2:66" ht="12.95" customHeight="1">
      <c r="B340" s="3" t="s">
        <v>88</v>
      </c>
      <c r="C340" s="3"/>
      <c r="D340" s="3"/>
      <c r="E340" s="3"/>
      <c r="F340" s="3"/>
      <c r="G340" s="3"/>
      <c r="H340" s="1468">
        <v>8169685891</v>
      </c>
      <c r="I340" s="1468"/>
      <c r="J340" s="1468"/>
      <c r="K340" s="1468"/>
      <c r="L340" s="1468"/>
      <c r="M340" s="1468"/>
      <c r="N340" s="4" t="s">
        <v>205</v>
      </c>
      <c r="O340" s="4"/>
      <c r="P340" s="1438"/>
      <c r="Q340" s="1438"/>
      <c r="R340" s="1438"/>
      <c r="S340" s="3"/>
      <c r="T340" s="3" t="s">
        <v>88</v>
      </c>
      <c r="V340" s="3"/>
      <c r="W340" s="3"/>
      <c r="X340" s="3"/>
      <c r="Y340" s="3"/>
      <c r="AA340" s="1468"/>
      <c r="AB340" s="1468"/>
      <c r="AC340" s="1468"/>
      <c r="AD340" s="1468"/>
      <c r="AE340" s="1468"/>
      <c r="AF340" s="1468"/>
      <c r="AG340" s="4" t="s">
        <v>205</v>
      </c>
      <c r="AH340" s="4"/>
      <c r="AI340" s="1438"/>
      <c r="AJ340" s="1438"/>
      <c r="AK340" s="1438"/>
    </row>
    <row r="341" spans="2:66" ht="12.95" customHeight="1">
      <c r="B341" s="3" t="s">
        <v>89</v>
      </c>
      <c r="C341" s="3"/>
      <c r="D341" s="3"/>
      <c r="E341" s="3"/>
      <c r="F341" s="3"/>
      <c r="G341" s="3"/>
      <c r="H341" s="1310">
        <v>8169685890</v>
      </c>
      <c r="I341" s="1310"/>
      <c r="J341" s="1310"/>
      <c r="K341" s="1310"/>
      <c r="L341" s="1310"/>
      <c r="M341" s="1310"/>
      <c r="N341" s="4"/>
      <c r="O341" s="4"/>
      <c r="P341" s="35"/>
      <c r="Q341" s="35"/>
      <c r="R341" s="35"/>
      <c r="S341" s="3"/>
      <c r="T341" s="3" t="s">
        <v>89</v>
      </c>
      <c r="V341" s="3"/>
      <c r="W341" s="3"/>
      <c r="X341" s="3"/>
      <c r="Y341" s="3"/>
      <c r="AA341" s="1310"/>
      <c r="AB341" s="1310"/>
      <c r="AC341" s="1310"/>
      <c r="AD341" s="1310"/>
      <c r="AE341" s="1310"/>
      <c r="AF341" s="1310"/>
      <c r="AG341" s="4"/>
      <c r="AH341" s="4"/>
      <c r="AI341" s="35"/>
      <c r="AJ341" s="35"/>
      <c r="AK341" s="35"/>
    </row>
    <row r="342" spans="2:66" ht="12.95" customHeight="1">
      <c r="B342" s="3" t="s">
        <v>76</v>
      </c>
      <c r="C342" s="3"/>
      <c r="D342" s="3"/>
      <c r="E342" s="3"/>
      <c r="F342" s="3"/>
      <c r="G342" s="3"/>
      <c r="H342" s="1335" t="s">
        <v>2678</v>
      </c>
      <c r="I342" s="1335"/>
      <c r="J342" s="1335"/>
      <c r="K342" s="1335"/>
      <c r="L342" s="1335"/>
      <c r="M342" s="1335"/>
      <c r="N342" s="1348"/>
      <c r="O342" s="1348"/>
      <c r="P342" s="1348"/>
      <c r="Q342" s="1348"/>
      <c r="R342" s="1348"/>
      <c r="S342" s="3"/>
      <c r="T342" s="3" t="s">
        <v>76</v>
      </c>
      <c r="V342" s="3"/>
      <c r="W342" s="3"/>
      <c r="X342" s="3"/>
      <c r="Y342" s="3"/>
      <c r="AA342" s="1335"/>
      <c r="AB342" s="1335"/>
      <c r="AC342" s="1335"/>
      <c r="AD342" s="1335"/>
      <c r="AE342" s="1335"/>
      <c r="AF342" s="1335"/>
      <c r="AG342" s="1348"/>
      <c r="AH342" s="1348"/>
      <c r="AI342" s="1348"/>
      <c r="AJ342" s="1348"/>
      <c r="AK342" s="1348"/>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348" t="s">
        <v>2691</v>
      </c>
      <c r="I344" s="1348"/>
      <c r="J344" s="1348"/>
      <c r="K344" s="1348"/>
      <c r="L344" s="1348"/>
      <c r="M344" s="1348"/>
      <c r="N344" s="1348"/>
      <c r="O344" s="1348"/>
      <c r="P344" s="1348"/>
      <c r="Q344" s="1348"/>
      <c r="R344" s="1348"/>
      <c r="T344" s="204" t="s">
        <v>884</v>
      </c>
      <c r="V344" s="3"/>
      <c r="W344" s="3"/>
      <c r="X344" s="3"/>
      <c r="Y344" s="3"/>
      <c r="AA344" s="1348" t="s">
        <v>2686</v>
      </c>
      <c r="AB344" s="1348"/>
      <c r="AC344" s="1348"/>
      <c r="AD344" s="1348"/>
      <c r="AE344" s="1348"/>
      <c r="AF344" s="1348"/>
      <c r="AG344" s="1348"/>
      <c r="AH344" s="1348"/>
      <c r="AI344" s="1348"/>
      <c r="AJ344" s="1348"/>
      <c r="AK344" s="1348"/>
    </row>
    <row r="345" spans="2:66" ht="12.95" customHeight="1">
      <c r="B345" s="3" t="s">
        <v>469</v>
      </c>
      <c r="C345" s="3"/>
      <c r="D345" s="3"/>
      <c r="E345" s="3"/>
      <c r="F345" s="3"/>
      <c r="H345" s="1335" t="s">
        <v>2692</v>
      </c>
      <c r="I345" s="1335"/>
      <c r="J345" s="1335"/>
      <c r="K345" s="1335"/>
      <c r="L345" s="1335"/>
      <c r="M345" s="1335"/>
      <c r="N345" s="1335"/>
      <c r="O345" s="1335"/>
      <c r="P345" s="1335"/>
      <c r="Q345" s="1335"/>
      <c r="R345" s="1335"/>
      <c r="T345" s="3" t="s">
        <v>469</v>
      </c>
      <c r="V345" s="3"/>
      <c r="W345" s="3"/>
      <c r="X345" s="3"/>
      <c r="Y345" s="3"/>
      <c r="AA345" s="1335" t="s">
        <v>2687</v>
      </c>
      <c r="AB345" s="1335"/>
      <c r="AC345" s="1335"/>
      <c r="AD345" s="1335"/>
      <c r="AE345" s="1335"/>
      <c r="AF345" s="1335"/>
      <c r="AG345" s="1335"/>
      <c r="AH345" s="1335"/>
      <c r="AI345" s="1335"/>
      <c r="AJ345" s="1335"/>
      <c r="AK345" s="1335"/>
    </row>
    <row r="346" spans="2:66" ht="12.95" customHeight="1">
      <c r="B346" s="3" t="s">
        <v>75</v>
      </c>
      <c r="C346" s="3"/>
      <c r="D346" s="3"/>
      <c r="E346" s="3"/>
      <c r="F346" s="3"/>
      <c r="H346" s="1335" t="s">
        <v>2693</v>
      </c>
      <c r="I346" s="1335"/>
      <c r="J346" s="1335"/>
      <c r="K346" s="1335"/>
      <c r="L346" s="1335"/>
      <c r="M346" s="1335"/>
      <c r="N346" s="1335"/>
      <c r="O346" s="1335"/>
      <c r="P346" s="1335"/>
      <c r="Q346" s="1335"/>
      <c r="R346" s="1335"/>
      <c r="T346" s="3" t="s">
        <v>75</v>
      </c>
      <c r="V346" s="3"/>
      <c r="W346" s="3"/>
      <c r="X346" s="3"/>
      <c r="Y346" s="3"/>
      <c r="AA346" s="1335" t="s">
        <v>2688</v>
      </c>
      <c r="AB346" s="1335"/>
      <c r="AC346" s="1335"/>
      <c r="AD346" s="1335"/>
      <c r="AE346" s="1335"/>
      <c r="AF346" s="1335"/>
      <c r="AG346" s="1335"/>
      <c r="AH346" s="1335"/>
      <c r="AI346" s="1335"/>
      <c r="AJ346" s="1335"/>
      <c r="AK346" s="1335"/>
    </row>
    <row r="347" spans="2:66" ht="12.95" customHeight="1">
      <c r="B347" s="3" t="s">
        <v>87</v>
      </c>
      <c r="C347" s="3"/>
      <c r="D347" s="3"/>
      <c r="E347" s="3"/>
      <c r="F347" s="3"/>
      <c r="G347" s="3"/>
      <c r="H347" s="1335" t="s">
        <v>2694</v>
      </c>
      <c r="I347" s="1335"/>
      <c r="J347" s="1335"/>
      <c r="K347" s="1335"/>
      <c r="L347" s="1335"/>
      <c r="M347" s="1335"/>
      <c r="N347" s="1335"/>
      <c r="O347" s="1335"/>
      <c r="P347" s="1335"/>
      <c r="Q347" s="1335"/>
      <c r="R347" s="1335"/>
      <c r="T347" s="3" t="s">
        <v>87</v>
      </c>
      <c r="V347" s="3"/>
      <c r="W347" s="3"/>
      <c r="X347" s="3"/>
      <c r="Y347" s="3"/>
      <c r="AA347" s="1335" t="s">
        <v>2689</v>
      </c>
      <c r="AB347" s="1335"/>
      <c r="AC347" s="1335"/>
      <c r="AD347" s="1335"/>
      <c r="AE347" s="1335"/>
      <c r="AF347" s="1335"/>
      <c r="AG347" s="1335"/>
      <c r="AH347" s="1335"/>
      <c r="AI347" s="1335"/>
      <c r="AJ347" s="1335"/>
      <c r="AK347" s="1335"/>
    </row>
    <row r="348" spans="2:66" ht="12.95" customHeight="1">
      <c r="B348" s="3" t="s">
        <v>88</v>
      </c>
      <c r="C348" s="3"/>
      <c r="D348" s="3"/>
      <c r="E348" s="3"/>
      <c r="F348" s="3"/>
      <c r="G348" s="3"/>
      <c r="H348" s="1468">
        <v>9163268623</v>
      </c>
      <c r="I348" s="1468"/>
      <c r="J348" s="1468"/>
      <c r="K348" s="1468"/>
      <c r="L348" s="1468"/>
      <c r="M348" s="1468"/>
      <c r="N348" s="4" t="s">
        <v>205</v>
      </c>
      <c r="O348" s="4"/>
      <c r="P348" s="1438"/>
      <c r="Q348" s="1438"/>
      <c r="R348" s="1438"/>
      <c r="S348" s="3"/>
      <c r="T348" s="3" t="s">
        <v>88</v>
      </c>
      <c r="V348" s="3"/>
      <c r="W348" s="3"/>
      <c r="X348" s="3"/>
      <c r="Y348" s="3"/>
      <c r="AA348" s="1468">
        <v>9254700881</v>
      </c>
      <c r="AB348" s="1468"/>
      <c r="AC348" s="1468"/>
      <c r="AD348" s="1468"/>
      <c r="AE348" s="1468"/>
      <c r="AF348" s="1468"/>
      <c r="AG348" s="4" t="s">
        <v>205</v>
      </c>
      <c r="AH348" s="4"/>
      <c r="AI348" s="1438"/>
      <c r="AJ348" s="1438"/>
      <c r="AK348" s="1438"/>
    </row>
    <row r="349" spans="2:66" ht="12.95" customHeight="1">
      <c r="B349" s="3" t="s">
        <v>89</v>
      </c>
      <c r="C349" s="3"/>
      <c r="D349" s="3"/>
      <c r="E349" s="3"/>
      <c r="F349" s="3"/>
      <c r="G349" s="3"/>
      <c r="H349" s="1310"/>
      <c r="I349" s="1310"/>
      <c r="J349" s="1310"/>
      <c r="K349" s="1310"/>
      <c r="L349" s="1310"/>
      <c r="M349" s="1310"/>
      <c r="N349" s="4"/>
      <c r="O349" s="4"/>
      <c r="P349" s="35"/>
      <c r="Q349" s="35"/>
      <c r="R349" s="35"/>
      <c r="S349" s="3"/>
      <c r="T349" s="3" t="s">
        <v>89</v>
      </c>
      <c r="V349" s="3"/>
      <c r="W349" s="3"/>
      <c r="X349" s="3"/>
      <c r="Y349" s="3"/>
      <c r="AA349" s="1310"/>
      <c r="AB349" s="1310"/>
      <c r="AC349" s="1310"/>
      <c r="AD349" s="1310"/>
      <c r="AE349" s="1310"/>
      <c r="AF349" s="1310"/>
      <c r="AG349" s="4"/>
      <c r="AH349" s="4"/>
      <c r="AI349" s="35"/>
      <c r="AJ349" s="35"/>
      <c r="AK349" s="35"/>
    </row>
    <row r="350" spans="2:66" ht="12.95" customHeight="1">
      <c r="B350" s="3" t="s">
        <v>76</v>
      </c>
      <c r="C350" s="3"/>
      <c r="D350" s="3"/>
      <c r="E350" s="3"/>
      <c r="F350" s="3"/>
      <c r="G350" s="3"/>
      <c r="H350" s="1335" t="s">
        <v>2695</v>
      </c>
      <c r="I350" s="1335"/>
      <c r="J350" s="1335"/>
      <c r="K350" s="1335"/>
      <c r="L350" s="1335"/>
      <c r="M350" s="1335"/>
      <c r="N350" s="1348"/>
      <c r="O350" s="1348"/>
      <c r="P350" s="1348"/>
      <c r="Q350" s="1348"/>
      <c r="R350" s="1348"/>
      <c r="S350" s="3"/>
      <c r="T350" s="3" t="s">
        <v>76</v>
      </c>
      <c r="V350" s="3"/>
      <c r="W350" s="3"/>
      <c r="X350" s="3"/>
      <c r="Y350" s="3"/>
      <c r="AA350" s="1335" t="s">
        <v>2690</v>
      </c>
      <c r="AB350" s="1335"/>
      <c r="AC350" s="1335"/>
      <c r="AD350" s="1335"/>
      <c r="AE350" s="1335"/>
      <c r="AF350" s="1335"/>
      <c r="AG350" s="1348"/>
      <c r="AH350" s="1348"/>
      <c r="AI350" s="1348"/>
      <c r="AJ350" s="1348"/>
      <c r="AK350" s="1348"/>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589</v>
      </c>
    </row>
    <row r="352" spans="2:66" ht="12.95" customHeight="1">
      <c r="B352" s="3"/>
      <c r="C352" s="4"/>
      <c r="D352" s="4"/>
      <c r="E352" s="4"/>
      <c r="F352" s="4"/>
      <c r="I352" s="204" t="s">
        <v>885</v>
      </c>
      <c r="P352" s="1348" t="s">
        <v>589</v>
      </c>
      <c r="Q352" s="1348"/>
      <c r="R352" s="1348"/>
      <c r="S352" s="1348"/>
      <c r="T352" s="1348"/>
      <c r="U352" s="1348"/>
      <c r="V352" s="1348"/>
      <c r="W352" s="1348"/>
      <c r="X352" s="1348"/>
      <c r="Y352" s="1348"/>
      <c r="Z352" s="1348"/>
      <c r="AA352" s="1348"/>
      <c r="AB352" s="1348"/>
      <c r="AC352" s="1348"/>
      <c r="AD352" s="1348"/>
      <c r="AE352" s="1348"/>
      <c r="BN352" t="s">
        <v>667</v>
      </c>
    </row>
    <row r="353" spans="1:66" ht="12.95" customHeight="1">
      <c r="B353" s="4"/>
      <c r="C353" s="4"/>
      <c r="D353" s="4"/>
      <c r="E353" s="4"/>
      <c r="F353" s="4"/>
      <c r="I353" s="4" t="s">
        <v>469</v>
      </c>
      <c r="P353" s="1335"/>
      <c r="Q353" s="1335"/>
      <c r="R353" s="1335"/>
      <c r="S353" s="1335"/>
      <c r="T353" s="1335"/>
      <c r="U353" s="1335"/>
      <c r="V353" s="1335"/>
      <c r="W353" s="1335"/>
      <c r="X353" s="1335"/>
      <c r="Y353" s="1335"/>
      <c r="Z353" s="1335"/>
      <c r="AA353" s="1335"/>
      <c r="AB353" s="1335"/>
      <c r="AC353" s="1335"/>
      <c r="AD353" s="1335"/>
      <c r="AE353" s="1335"/>
      <c r="BN353" t="s">
        <v>543</v>
      </c>
    </row>
    <row r="354" spans="1:66" ht="12.95" customHeight="1">
      <c r="B354" s="4"/>
      <c r="C354" s="4"/>
      <c r="D354" s="4"/>
      <c r="E354" s="4"/>
      <c r="F354" s="4"/>
      <c r="I354" s="4" t="s">
        <v>75</v>
      </c>
      <c r="P354" s="1335"/>
      <c r="Q354" s="1335"/>
      <c r="R354" s="1335"/>
      <c r="S354" s="1335"/>
      <c r="T354" s="1335"/>
      <c r="U354" s="1335"/>
      <c r="V354" s="1335"/>
      <c r="W354" s="1335"/>
      <c r="X354" s="1335"/>
      <c r="Y354" s="1335"/>
      <c r="Z354" s="1335"/>
      <c r="AA354" s="1335"/>
      <c r="AB354" s="1335"/>
      <c r="AC354" s="1335"/>
      <c r="AD354" s="1335"/>
      <c r="AE354" s="1335"/>
    </row>
    <row r="355" spans="1:66" ht="12.95" customHeight="1">
      <c r="B355" s="4"/>
      <c r="C355" s="4"/>
      <c r="D355" s="4"/>
      <c r="E355" s="4"/>
      <c r="F355" s="4"/>
      <c r="G355" s="4"/>
      <c r="I355" s="4" t="s">
        <v>87</v>
      </c>
      <c r="P355" s="1335"/>
      <c r="Q355" s="1335"/>
      <c r="R355" s="1335"/>
      <c r="S355" s="1335"/>
      <c r="T355" s="1335"/>
      <c r="U355" s="1335"/>
      <c r="V355" s="1335"/>
      <c r="W355" s="1335"/>
      <c r="X355" s="1335"/>
      <c r="Y355" s="1335"/>
      <c r="Z355" s="1335"/>
      <c r="AA355" s="1335"/>
      <c r="AB355" s="1335"/>
      <c r="AC355" s="1335"/>
      <c r="AD355" s="1335"/>
      <c r="AE355" s="1335"/>
    </row>
    <row r="356" spans="1:66" ht="12.95" customHeight="1">
      <c r="B356" s="4"/>
      <c r="C356" s="4"/>
      <c r="D356" s="4"/>
      <c r="E356" s="4"/>
      <c r="F356" s="4"/>
      <c r="G356" s="4"/>
      <c r="H356" s="302"/>
      <c r="I356" s="4" t="s">
        <v>88</v>
      </c>
      <c r="P356" s="1310"/>
      <c r="Q356" s="1310"/>
      <c r="R356" s="1310"/>
      <c r="S356" s="1310"/>
      <c r="T356" s="1310"/>
      <c r="U356" s="1310"/>
      <c r="V356" s="1310"/>
      <c r="W356" s="1310"/>
      <c r="X356" s="1310"/>
      <c r="Y356" s="1310"/>
      <c r="Z356" s="1310"/>
      <c r="AA356" s="4" t="s">
        <v>205</v>
      </c>
      <c r="AB356" s="4"/>
      <c r="AC356" s="1336"/>
      <c r="AD356" s="1336"/>
      <c r="AE356" s="1336"/>
      <c r="AF356" s="302"/>
      <c r="AG356" s="4"/>
      <c r="AH356" s="4"/>
      <c r="AI356" s="4"/>
      <c r="AJ356" s="4"/>
      <c r="AK356" s="4"/>
    </row>
    <row r="357" spans="1:66" ht="12.95" customHeight="1">
      <c r="B357" s="4"/>
      <c r="C357" s="4"/>
      <c r="D357" s="4"/>
      <c r="E357" s="4"/>
      <c r="F357" s="4"/>
      <c r="G357" s="4"/>
      <c r="H357" s="302"/>
      <c r="I357" s="4" t="s">
        <v>89</v>
      </c>
      <c r="P357" s="1310"/>
      <c r="Q357" s="1310"/>
      <c r="R357" s="1310"/>
      <c r="S357" s="1310"/>
      <c r="T357" s="1310"/>
      <c r="U357" s="1310"/>
      <c r="V357" s="1310"/>
      <c r="W357" s="1310"/>
      <c r="X357" s="1310"/>
      <c r="Y357" s="1310"/>
      <c r="Z357" s="1310"/>
      <c r="AF357" s="302"/>
      <c r="AG357" s="4"/>
      <c r="AH357" s="4"/>
      <c r="AI357" s="35"/>
      <c r="AJ357" s="35"/>
      <c r="AK357" s="35"/>
    </row>
    <row r="358" spans="1:66" ht="12.95" customHeight="1">
      <c r="B358" s="4"/>
      <c r="C358" s="4"/>
      <c r="D358" s="4"/>
      <c r="E358" s="4"/>
      <c r="F358" s="4"/>
      <c r="G358" s="4"/>
      <c r="I358" s="4" t="s">
        <v>76</v>
      </c>
      <c r="P358" s="1348"/>
      <c r="Q358" s="1348"/>
      <c r="R358" s="1348"/>
      <c r="S358" s="1348"/>
      <c r="T358" s="1348"/>
      <c r="U358" s="1348"/>
      <c r="V358" s="1348"/>
      <c r="W358" s="1348"/>
      <c r="X358" s="1348"/>
      <c r="Y358" s="1348"/>
      <c r="Z358" s="1348"/>
      <c r="AA358" s="1348"/>
      <c r="AB358" s="1348"/>
      <c r="AC358" s="1348"/>
      <c r="AD358" s="1348"/>
      <c r="AE358" s="1348"/>
    </row>
    <row r="359" spans="1:66" ht="12.95" customHeight="1">
      <c r="T359" s="8"/>
      <c r="U359" s="8"/>
      <c r="V359" s="8"/>
      <c r="W359" s="8"/>
      <c r="X359" s="8"/>
      <c r="Y359" s="8"/>
      <c r="Z359" s="8"/>
      <c r="AU359" s="95"/>
      <c r="AV359" s="95"/>
      <c r="AW359" s="95"/>
      <c r="AX359" s="95"/>
      <c r="AY359" s="95"/>
    </row>
    <row r="360" spans="1:66" ht="12.95" customHeight="1">
      <c r="A360" s="1456" t="s">
        <v>540</v>
      </c>
      <c r="B360" s="1456"/>
      <c r="C360" s="1456"/>
      <c r="D360" s="1456"/>
      <c r="E360" s="1456"/>
      <c r="F360" s="1456"/>
      <c r="G360" s="1456"/>
      <c r="H360" s="1456"/>
      <c r="I360" s="1456"/>
      <c r="J360" s="1456"/>
      <c r="K360" s="1456"/>
      <c r="L360" s="1456"/>
      <c r="M360" s="1456"/>
      <c r="N360" s="1456"/>
      <c r="O360" s="1456"/>
      <c r="P360" s="1456"/>
      <c r="Q360" s="1456"/>
      <c r="R360" s="1456"/>
      <c r="S360" s="1456"/>
      <c r="T360" s="1456"/>
      <c r="U360" s="1456"/>
      <c r="V360" s="1456"/>
      <c r="W360" s="1456"/>
      <c r="X360" s="1456"/>
      <c r="Y360" s="1456"/>
      <c r="Z360" s="1456"/>
      <c r="AA360" s="1456"/>
      <c r="AB360" s="1456"/>
      <c r="AC360" s="1456"/>
      <c r="AD360" s="1456"/>
      <c r="AE360" s="1456"/>
      <c r="AF360" s="1456"/>
      <c r="AG360" s="1456"/>
      <c r="AH360" s="1456"/>
      <c r="AI360" s="1456"/>
      <c r="AJ360" s="1456"/>
      <c r="AK360" s="1456"/>
      <c r="AL360" s="1456"/>
      <c r="AM360" s="1456"/>
      <c r="AN360" s="1456"/>
      <c r="AO360" s="1456"/>
      <c r="AP360" s="1456"/>
      <c r="AQ360" s="1456"/>
      <c r="AR360" s="1456"/>
      <c r="AS360" s="1456"/>
      <c r="AT360" s="1456"/>
      <c r="AU360" s="95"/>
      <c r="AV360" s="95"/>
      <c r="AW360" s="95"/>
      <c r="AX360" s="95"/>
      <c r="AY360" s="95"/>
    </row>
    <row r="361" spans="1:66" ht="12.95" customHeight="1">
      <c r="A361" s="1456"/>
      <c r="B361" s="1456"/>
      <c r="C361" s="1456"/>
      <c r="D361" s="1456"/>
      <c r="E361" s="1456"/>
      <c r="F361" s="1456"/>
      <c r="G361" s="1456"/>
      <c r="H361" s="1456"/>
      <c r="I361" s="1456"/>
      <c r="J361" s="1456"/>
      <c r="K361" s="1456"/>
      <c r="L361" s="1456"/>
      <c r="M361" s="1456"/>
      <c r="N361" s="1456"/>
      <c r="O361" s="1456"/>
      <c r="P361" s="1456"/>
      <c r="Q361" s="1456"/>
      <c r="R361" s="1456"/>
      <c r="S361" s="1456"/>
      <c r="T361" s="1456"/>
      <c r="U361" s="1456"/>
      <c r="V361" s="1456"/>
      <c r="W361" s="1456"/>
      <c r="X361" s="1456"/>
      <c r="Y361" s="1456"/>
      <c r="Z361" s="1456"/>
      <c r="AA361" s="1456"/>
      <c r="AB361" s="1456"/>
      <c r="AC361" s="1456"/>
      <c r="AD361" s="1456"/>
      <c r="AE361" s="1456"/>
      <c r="AF361" s="1456"/>
      <c r="AG361" s="1456"/>
      <c r="AH361" s="1456"/>
      <c r="AI361" s="1456"/>
      <c r="AJ361" s="1456"/>
      <c r="AK361" s="1456"/>
      <c r="AL361" s="1456"/>
      <c r="AM361" s="1456"/>
      <c r="AN361" s="1456"/>
      <c r="AO361" s="1456"/>
      <c r="AP361" s="1456"/>
      <c r="AQ361" s="1456"/>
      <c r="AR361" s="1456"/>
      <c r="AS361" s="1456"/>
      <c r="AT361" s="1456"/>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780</v>
      </c>
    </row>
    <row r="364" spans="1:66" ht="12.95" customHeight="1">
      <c r="D364" s="3" t="s">
        <v>2051</v>
      </c>
      <c r="M364" s="1306" t="s">
        <v>543</v>
      </c>
      <c r="N364" s="1306"/>
      <c r="P364" t="s">
        <v>1637</v>
      </c>
      <c r="AJ364" s="1306" t="s">
        <v>667</v>
      </c>
      <c r="AK364" s="1306"/>
    </row>
    <row r="365" spans="1:66" ht="12.95" customHeight="1">
      <c r="D365" s="3" t="s">
        <v>1626</v>
      </c>
      <c r="M365" s="1306" t="s">
        <v>589</v>
      </c>
      <c r="N365" s="1306"/>
      <c r="P365" s="3" t="s">
        <v>1706</v>
      </c>
      <c r="AJ365" s="1397">
        <v>0</v>
      </c>
      <c r="AK365" s="1397"/>
    </row>
    <row r="366" spans="1:66" ht="12.95" customHeight="1">
      <c r="D366" s="3" t="s">
        <v>702</v>
      </c>
      <c r="M366" s="1306" t="s">
        <v>589</v>
      </c>
      <c r="N366" s="1306"/>
      <c r="P366" t="s">
        <v>1636</v>
      </c>
      <c r="AJ366" s="1306" t="s">
        <v>589</v>
      </c>
      <c r="AK366" s="1306"/>
    </row>
    <row r="367" spans="1:66" ht="12.95" customHeight="1">
      <c r="D367" s="3" t="s">
        <v>703</v>
      </c>
      <c r="M367" s="1306" t="s">
        <v>589</v>
      </c>
      <c r="N367" s="1306"/>
      <c r="Q367" s="4"/>
    </row>
    <row r="368" spans="1:66" ht="12.95" customHeight="1">
      <c r="Q368" s="4"/>
    </row>
    <row r="369" spans="1:34" ht="12.95" customHeight="1">
      <c r="Q369" s="4"/>
    </row>
    <row r="370" spans="1:34" ht="12.95" customHeight="1">
      <c r="A370" s="2" t="s">
        <v>574</v>
      </c>
      <c r="B370" s="2"/>
      <c r="C370" s="2" t="s">
        <v>550</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06" t="s">
        <v>589</v>
      </c>
      <c r="O372" s="1306"/>
      <c r="P372" s="40"/>
      <c r="Q372" s="40"/>
      <c r="R372" s="40"/>
      <c r="S372" s="40"/>
      <c r="T372" s="40"/>
      <c r="U372" s="40"/>
      <c r="V372" s="40"/>
      <c r="W372" s="40"/>
      <c r="X372" s="40"/>
      <c r="Y372" s="40"/>
      <c r="Z372" s="40"/>
      <c r="AC372" s="40"/>
      <c r="AD372" s="40"/>
      <c r="AE372" s="40"/>
    </row>
    <row r="373" spans="1:34" ht="12.95" customHeight="1">
      <c r="E373" t="s">
        <v>368</v>
      </c>
      <c r="Y373" s="1306" t="s">
        <v>589</v>
      </c>
      <c r="Z373" s="1306"/>
    </row>
    <row r="374" spans="1:34" ht="12.95" customHeight="1">
      <c r="D374" s="4" t="s">
        <v>976</v>
      </c>
      <c r="Q374" s="1348"/>
      <c r="R374" s="1348"/>
      <c r="S374" s="1348"/>
      <c r="T374" s="1348"/>
      <c r="U374" s="1348"/>
      <c r="V374" s="1348"/>
      <c r="W374" s="1348"/>
      <c r="X374" s="1348"/>
      <c r="Y374" s="1348"/>
      <c r="Z374" s="1348"/>
      <c r="AA374" s="1348"/>
      <c r="AB374" s="1348"/>
      <c r="AC374" s="1348"/>
      <c r="AD374" s="1348"/>
      <c r="AE374" s="1348"/>
      <c r="AF374" s="1348"/>
      <c r="AG374" s="1348"/>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06" t="s">
        <v>589</v>
      </c>
      <c r="K376" s="1306"/>
      <c r="L376" s="40"/>
      <c r="M376" s="40"/>
      <c r="N376" s="40"/>
      <c r="O376" s="40"/>
      <c r="P376" s="40"/>
      <c r="Q376" s="40"/>
      <c r="R376" s="40"/>
      <c r="S376" s="40"/>
      <c r="T376" s="40"/>
      <c r="U376" s="40"/>
      <c r="V376" s="40"/>
      <c r="W376" s="40"/>
      <c r="X376" s="40"/>
      <c r="Y376" s="40"/>
      <c r="Z376" s="40"/>
      <c r="AC376" s="40"/>
      <c r="AD376" s="40"/>
      <c r="AE376" s="40"/>
    </row>
    <row r="377" spans="1:34" ht="12.95" customHeight="1">
      <c r="E377" s="1439" t="s">
        <v>704</v>
      </c>
      <c r="F377" s="1439"/>
      <c r="G377" s="1439"/>
      <c r="H377" s="1439"/>
      <c r="I377" s="1439"/>
      <c r="J377" s="1439"/>
      <c r="K377" s="1439"/>
      <c r="L377" s="1439"/>
      <c r="M377" s="1439"/>
      <c r="N377" s="1439"/>
      <c r="O377" s="1439"/>
      <c r="P377" s="1439"/>
      <c r="Q377" s="1439"/>
      <c r="R377" s="1439"/>
      <c r="S377" s="1439"/>
      <c r="T377" s="1439"/>
      <c r="U377" s="1439"/>
      <c r="V377" s="1439"/>
      <c r="W377" s="1439"/>
      <c r="X377" s="1439"/>
      <c r="Y377" s="1439"/>
      <c r="Z377" s="1439"/>
      <c r="AA377" s="1439"/>
      <c r="AB377" s="1439"/>
      <c r="AC377" s="1439"/>
      <c r="AD377" s="1439"/>
      <c r="AE377" s="1439"/>
      <c r="AF377" s="1439"/>
      <c r="AG377" s="1439"/>
      <c r="AH377" s="1439"/>
    </row>
    <row r="378" spans="1:34" ht="12.95" customHeight="1">
      <c r="E378" s="1439"/>
      <c r="F378" s="1439"/>
      <c r="G378" s="1439"/>
      <c r="H378" s="1439"/>
      <c r="I378" s="1439"/>
      <c r="J378" s="1439"/>
      <c r="K378" s="1439"/>
      <c r="L378" s="1439"/>
      <c r="M378" s="1439"/>
      <c r="N378" s="1439"/>
      <c r="O378" s="1439"/>
      <c r="P378" s="1439"/>
      <c r="Q378" s="1439"/>
      <c r="R378" s="1439"/>
      <c r="S378" s="1439"/>
      <c r="T378" s="1439"/>
      <c r="U378" s="1439"/>
      <c r="V378" s="1439"/>
      <c r="W378" s="1439"/>
      <c r="X378" s="1439"/>
      <c r="Y378" s="1439"/>
      <c r="Z378" s="1439"/>
      <c r="AA378" s="1439"/>
      <c r="AB378" s="1439"/>
      <c r="AC378" s="1439"/>
      <c r="AD378" s="1439"/>
      <c r="AE378" s="1439"/>
      <c r="AF378" s="1439"/>
      <c r="AG378" s="1439"/>
      <c r="AH378" s="1439"/>
    </row>
    <row r="379" spans="1:34" ht="12.95" customHeight="1">
      <c r="E379" s="4" t="s">
        <v>446</v>
      </c>
      <c r="F379" s="4"/>
      <c r="G379" s="4"/>
      <c r="H379" s="4"/>
      <c r="I379" s="4"/>
      <c r="J379" s="4"/>
      <c r="K379" s="4"/>
      <c r="L379" s="4"/>
      <c r="N379" s="1316"/>
      <c r="O379" s="1316"/>
      <c r="P379" s="1316"/>
      <c r="Q379" s="1316"/>
      <c r="R379" s="4"/>
      <c r="U379" s="4" t="s">
        <v>447</v>
      </c>
      <c r="V379" s="4"/>
      <c r="W379" s="4"/>
      <c r="X379" s="4"/>
      <c r="Y379" s="4"/>
      <c r="Z379" s="4"/>
      <c r="AA379" s="4"/>
      <c r="AB379" s="4"/>
      <c r="AC379" s="1316"/>
      <c r="AD379" s="1316"/>
      <c r="AE379" s="1316"/>
      <c r="AF379" s="1316"/>
    </row>
    <row r="380" spans="1:34" ht="12.95" customHeight="1">
      <c r="E380" s="4" t="s">
        <v>448</v>
      </c>
      <c r="F380" s="4"/>
      <c r="G380" s="4"/>
      <c r="H380" s="4"/>
      <c r="I380" s="4"/>
      <c r="J380" s="4"/>
      <c r="K380" s="4"/>
      <c r="L380" s="4"/>
      <c r="N380" s="1316"/>
      <c r="O380" s="1316"/>
      <c r="P380" s="1316"/>
      <c r="Q380" s="1316"/>
      <c r="R380" s="4"/>
      <c r="U380" s="4" t="s">
        <v>0</v>
      </c>
      <c r="V380" s="4"/>
      <c r="W380" s="4"/>
      <c r="X380" s="4"/>
      <c r="Y380" s="4"/>
      <c r="Z380" s="4"/>
      <c r="AA380" s="4"/>
      <c r="AB380" s="4"/>
      <c r="AC380" s="1316"/>
      <c r="AD380" s="1316"/>
      <c r="AE380" s="1316"/>
      <c r="AF380" s="1316"/>
    </row>
    <row r="381" spans="1:34" ht="12.95" customHeight="1">
      <c r="E381" s="4" t="s">
        <v>1</v>
      </c>
      <c r="F381" s="4"/>
      <c r="G381" s="4"/>
      <c r="H381" s="4"/>
      <c r="I381" s="4"/>
      <c r="J381" s="4"/>
      <c r="K381" s="4"/>
      <c r="L381" s="4"/>
      <c r="N381" s="1316"/>
      <c r="O381" s="1316"/>
      <c r="P381" s="1316"/>
      <c r="Q381" s="1316"/>
      <c r="R381" s="4"/>
      <c r="V381" s="4"/>
      <c r="W381" s="4"/>
      <c r="X381" s="4"/>
      <c r="Y381" s="4"/>
      <c r="Z381" s="4"/>
      <c r="AA381" s="4"/>
      <c r="AB381" s="4"/>
    </row>
    <row r="382" spans="1:34" ht="12.95" customHeight="1">
      <c r="E382" s="4" t="s">
        <v>2</v>
      </c>
      <c r="F382" s="4"/>
      <c r="G382" s="4"/>
      <c r="H382" s="4"/>
      <c r="I382" s="4"/>
      <c r="J382" s="4"/>
      <c r="K382" s="4"/>
      <c r="L382" s="4"/>
      <c r="N382" s="1446"/>
      <c r="O382" s="1446"/>
      <c r="P382" s="1446"/>
      <c r="Q382" s="1446"/>
      <c r="R382" s="1446"/>
      <c r="S382" s="1446"/>
      <c r="T382" s="1446"/>
      <c r="U382" s="1446"/>
      <c r="V382" s="1446"/>
      <c r="W382" s="1446"/>
      <c r="X382" s="1446"/>
      <c r="Y382" s="1446"/>
      <c r="Z382" s="1446"/>
      <c r="AA382" s="1446"/>
      <c r="AB382" s="1446"/>
      <c r="AC382" s="1446"/>
      <c r="AD382" s="1446"/>
      <c r="AE382" s="1446"/>
      <c r="AF382" s="1446"/>
    </row>
    <row r="383" spans="1:34" ht="12.95" customHeight="1">
      <c r="E383" s="4"/>
      <c r="F383" s="4"/>
      <c r="G383" s="4"/>
      <c r="H383" s="4"/>
      <c r="I383" s="4"/>
      <c r="J383" s="4"/>
      <c r="K383" s="4"/>
      <c r="L383" s="4"/>
      <c r="N383" s="1447"/>
      <c r="O383" s="1447"/>
      <c r="P383" s="1447"/>
      <c r="Q383" s="1447"/>
      <c r="R383" s="1447"/>
      <c r="S383" s="1447"/>
      <c r="T383" s="1447"/>
      <c r="U383" s="1447"/>
      <c r="V383" s="1447"/>
      <c r="W383" s="1447"/>
      <c r="X383" s="1447"/>
      <c r="Y383" s="1447"/>
      <c r="Z383" s="1447"/>
      <c r="AA383" s="1447"/>
      <c r="AB383" s="1447"/>
      <c r="AC383" s="1447"/>
      <c r="AD383" s="1447"/>
      <c r="AE383" s="1447"/>
      <c r="AF383" s="1447"/>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2037</v>
      </c>
      <c r="F386" s="4"/>
      <c r="G386" s="4"/>
      <c r="H386" s="4"/>
      <c r="I386" s="4"/>
      <c r="J386" s="4"/>
      <c r="K386" s="4"/>
      <c r="L386" s="4"/>
      <c r="N386" t="s">
        <v>2033</v>
      </c>
      <c r="R386" s="27" t="s">
        <v>304</v>
      </c>
      <c r="S386" s="1440"/>
      <c r="T386" s="1440"/>
      <c r="U386" s="1" t="s">
        <v>305</v>
      </c>
      <c r="V386" s="1440"/>
      <c r="W386" s="1440"/>
      <c r="Y386" t="s">
        <v>2033</v>
      </c>
      <c r="AC386" s="27" t="s">
        <v>304</v>
      </c>
      <c r="AD386" s="1440"/>
      <c r="AE386" s="1440"/>
      <c r="AF386" s="1" t="s">
        <v>305</v>
      </c>
      <c r="AG386" s="1440"/>
      <c r="AH386" s="1440"/>
    </row>
    <row r="387" spans="1:36" ht="12.95" customHeight="1">
      <c r="E387" s="4" t="s">
        <v>985</v>
      </c>
      <c r="F387" s="4"/>
      <c r="G387" s="4"/>
      <c r="H387" s="4"/>
      <c r="I387" s="4"/>
      <c r="J387" s="4"/>
      <c r="K387" s="4"/>
      <c r="L387" s="4"/>
      <c r="N387" s="1440"/>
      <c r="O387" s="1440"/>
      <c r="P387" s="1440"/>
    </row>
    <row r="388" spans="1:36" ht="12.95" customHeight="1">
      <c r="E388" s="204" t="s">
        <v>2038</v>
      </c>
      <c r="F388" s="4"/>
      <c r="G388" s="4"/>
      <c r="H388" s="4"/>
      <c r="I388" s="4"/>
      <c r="J388" s="4"/>
      <c r="K388" s="4"/>
      <c r="L388" s="4"/>
      <c r="AG388" s="1445" t="s">
        <v>589</v>
      </c>
      <c r="AH388" s="1445"/>
    </row>
    <row r="389" spans="1:36" ht="12.95" customHeight="1">
      <c r="E389" s="4"/>
      <c r="F389" s="4"/>
      <c r="G389" s="4" t="s">
        <v>2039</v>
      </c>
      <c r="H389" s="4"/>
      <c r="I389" s="4"/>
      <c r="J389" s="4"/>
      <c r="K389" s="4"/>
      <c r="L389" s="4"/>
      <c r="AG389" s="1445" t="s">
        <v>589</v>
      </c>
      <c r="AH389" s="1445"/>
    </row>
    <row r="390" spans="1:36" ht="12.95" customHeight="1">
      <c r="E390" s="4"/>
      <c r="F390" s="4"/>
      <c r="G390" s="320" t="s">
        <v>986</v>
      </c>
      <c r="H390" s="4"/>
      <c r="I390" s="4"/>
      <c r="J390" s="4"/>
      <c r="K390" s="4"/>
      <c r="L390" s="4"/>
      <c r="V390" s="1306" t="s">
        <v>589</v>
      </c>
      <c r="W390" s="1306"/>
      <c r="Y390" s="22" t="s">
        <v>978</v>
      </c>
    </row>
    <row r="391" spans="1:36" ht="12.95" customHeight="1">
      <c r="E391" s="4" t="s">
        <v>979</v>
      </c>
      <c r="F391" s="4"/>
      <c r="G391" s="4"/>
      <c r="H391" s="4"/>
      <c r="I391" s="4"/>
      <c r="J391" s="4"/>
      <c r="K391" s="4"/>
      <c r="L391" s="4"/>
      <c r="V391" s="1306" t="s">
        <v>589</v>
      </c>
      <c r="W391" s="1306"/>
      <c r="Y391" s="4" t="s">
        <v>980</v>
      </c>
    </row>
    <row r="392" spans="1:36" ht="12.95" customHeight="1"/>
    <row r="393" spans="1:36" ht="12.95" customHeight="1">
      <c r="A393" s="2" t="s">
        <v>78</v>
      </c>
      <c r="B393" s="2"/>
    </row>
    <row r="394" spans="1:36" ht="12.95" customHeight="1">
      <c r="D394" t="s">
        <v>426</v>
      </c>
      <c r="J394" s="1348" t="s">
        <v>2712</v>
      </c>
      <c r="K394" s="1348"/>
      <c r="L394" s="1348"/>
      <c r="M394" s="1348"/>
      <c r="N394" s="1348"/>
      <c r="O394" s="1348"/>
      <c r="P394" s="1348"/>
      <c r="Q394" s="1348"/>
      <c r="R394" s="1348"/>
      <c r="S394" s="1348"/>
      <c r="T394" s="1348"/>
      <c r="U394" s="1348"/>
      <c r="V394" s="8" t="s">
        <v>83</v>
      </c>
      <c r="W394" s="8"/>
      <c r="X394" s="8"/>
      <c r="Y394" s="8"/>
      <c r="Z394" s="8"/>
      <c r="AA394" s="8"/>
      <c r="AB394" s="8"/>
      <c r="AC394" s="1348" t="s">
        <v>2713</v>
      </c>
      <c r="AD394" s="1348"/>
      <c r="AE394" s="1348"/>
      <c r="AF394" s="1348"/>
      <c r="AG394" s="1348"/>
      <c r="AH394" s="1348"/>
      <c r="AI394" s="1348"/>
      <c r="AJ394" s="1348"/>
    </row>
    <row r="395" spans="1:36" ht="12.95" customHeight="1">
      <c r="D395" s="3" t="s">
        <v>1180</v>
      </c>
      <c r="J395" s="1335" t="s">
        <v>2713</v>
      </c>
      <c r="K395" s="1335"/>
      <c r="L395" s="1335"/>
      <c r="M395" s="1335"/>
      <c r="N395" s="1335"/>
      <c r="O395" s="1335"/>
      <c r="P395" s="1335"/>
      <c r="Q395" s="1335"/>
      <c r="R395" s="1335"/>
      <c r="S395" s="1335"/>
      <c r="T395" s="1335"/>
      <c r="U395" s="1335"/>
      <c r="V395" s="3" t="s">
        <v>1180</v>
      </c>
      <c r="W395" s="8"/>
      <c r="X395" s="8"/>
      <c r="Y395" s="8"/>
      <c r="Z395" s="8"/>
      <c r="AA395" s="8"/>
      <c r="AB395" s="8"/>
      <c r="AC395" s="1348"/>
      <c r="AD395" s="1348"/>
      <c r="AE395" s="1348"/>
      <c r="AF395" s="1348"/>
      <c r="AG395" s="1348"/>
      <c r="AH395" s="1348"/>
      <c r="AI395" s="1348"/>
      <c r="AJ395" s="1348"/>
    </row>
    <row r="396" spans="1:36" ht="12.95" customHeight="1">
      <c r="D396" s="3" t="s">
        <v>439</v>
      </c>
      <c r="J396" s="1335" t="s">
        <v>2714</v>
      </c>
      <c r="K396" s="1335"/>
      <c r="L396" s="1335"/>
      <c r="M396" s="1335"/>
      <c r="N396" s="1335"/>
      <c r="O396" s="1335"/>
      <c r="P396" s="1335"/>
      <c r="Q396" s="1335"/>
      <c r="R396" s="1335"/>
      <c r="S396" s="1335"/>
      <c r="T396" s="1335"/>
      <c r="U396" s="1335"/>
      <c r="V396" s="3" t="s">
        <v>439</v>
      </c>
      <c r="W396" s="8"/>
      <c r="X396" s="8"/>
      <c r="Y396" s="8"/>
      <c r="Z396" s="8"/>
      <c r="AA396" s="8"/>
      <c r="AB396" s="8"/>
      <c r="AC396" s="1348"/>
      <c r="AD396" s="1348"/>
      <c r="AE396" s="1348"/>
      <c r="AF396" s="1348"/>
      <c r="AG396" s="1348"/>
      <c r="AH396" s="1348"/>
      <c r="AI396" s="1348"/>
      <c r="AJ396" s="1348"/>
    </row>
    <row r="397" spans="1:36" ht="12.95" customHeight="1">
      <c r="D397" t="s">
        <v>1176</v>
      </c>
      <c r="J397" s="1318" t="s">
        <v>2715</v>
      </c>
      <c r="K397" s="1318"/>
      <c r="L397" s="1318"/>
      <c r="M397" s="1318"/>
      <c r="N397" s="1318"/>
      <c r="O397" s="1318"/>
      <c r="P397" s="1318"/>
      <c r="Q397" s="1318"/>
      <c r="R397" s="1318"/>
      <c r="S397" s="1318"/>
      <c r="T397" s="1318"/>
      <c r="U397" s="1318"/>
      <c r="V397" s="1348" t="s">
        <v>2736</v>
      </c>
      <c r="W397" s="1348"/>
      <c r="X397" s="1348"/>
      <c r="Y397" s="1348"/>
      <c r="Z397" s="1348"/>
      <c r="AA397" s="1348"/>
      <c r="AB397" s="1348"/>
      <c r="AC397" s="1348"/>
      <c r="AD397" s="1348"/>
      <c r="AE397" s="1348"/>
      <c r="AF397" s="1348"/>
      <c r="AG397" s="1348"/>
      <c r="AH397" s="1348"/>
      <c r="AI397" s="1348"/>
      <c r="AJ397" s="1348"/>
    </row>
    <row r="398" spans="1:36" ht="12.95" customHeight="1">
      <c r="D398" t="s">
        <v>4</v>
      </c>
      <c r="Q398" s="1763">
        <v>46057</v>
      </c>
      <c r="R398" s="1763"/>
      <c r="S398" s="1763"/>
      <c r="T398" s="1763"/>
      <c r="U398" s="1763"/>
      <c r="V398" t="s">
        <v>308</v>
      </c>
      <c r="AI398" s="1306" t="s">
        <v>667</v>
      </c>
      <c r="AJ398" s="1306"/>
    </row>
    <row r="399" spans="1:36" ht="12.95" customHeight="1">
      <c r="D399" t="s">
        <v>5</v>
      </c>
      <c r="Q399" s="1433">
        <v>46603</v>
      </c>
      <c r="R399" s="1434"/>
      <c r="S399" s="1434"/>
      <c r="T399" s="1434"/>
      <c r="U399" s="1434"/>
      <c r="W399" s="21" t="s">
        <v>74</v>
      </c>
      <c r="AG399" s="1436"/>
      <c r="AH399" s="1436"/>
      <c r="AI399" s="1436"/>
      <c r="AJ399" s="1436"/>
    </row>
    <row r="400" spans="1:36" ht="12.95" customHeight="1">
      <c r="D400" t="s">
        <v>425</v>
      </c>
      <c r="Q400" s="1451">
        <v>6700000</v>
      </c>
      <c r="R400" s="1451"/>
      <c r="S400" s="1451"/>
      <c r="T400" s="1451"/>
      <c r="U400" s="1451"/>
      <c r="V400" s="3" t="s">
        <v>1179</v>
      </c>
      <c r="AG400" s="1510"/>
      <c r="AH400" s="1510"/>
      <c r="AI400" s="1510"/>
      <c r="AJ400" s="1510"/>
    </row>
    <row r="401" spans="4:36" ht="12.95" customHeight="1">
      <c r="D401" t="s">
        <v>88</v>
      </c>
      <c r="I401" s="1752" t="s">
        <v>589</v>
      </c>
      <c r="J401" s="1468"/>
      <c r="K401" s="1468"/>
      <c r="L401" s="1468"/>
      <c r="M401" s="1468"/>
      <c r="N401" s="1468"/>
      <c r="Q401" s="4" t="s">
        <v>205</v>
      </c>
      <c r="S401" s="1450"/>
      <c r="T401" s="1450"/>
      <c r="U401" s="1450"/>
      <c r="V401" t="s">
        <v>73</v>
      </c>
      <c r="AI401" s="1306" t="s">
        <v>667</v>
      </c>
      <c r="AJ401" s="1306"/>
    </row>
    <row r="402" spans="4:36" ht="12.95" customHeight="1">
      <c r="D402" t="s">
        <v>309</v>
      </c>
      <c r="Q402" s="1444"/>
      <c r="R402" s="1444"/>
      <c r="S402" s="1444"/>
      <c r="T402" s="1444"/>
      <c r="U402" s="1444"/>
      <c r="V402" t="s">
        <v>310</v>
      </c>
      <c r="AG402" s="1436"/>
      <c r="AH402" s="1436"/>
      <c r="AI402" s="1436"/>
      <c r="AJ402" s="1436"/>
    </row>
    <row r="403" spans="4:36" ht="12.95" customHeight="1">
      <c r="D403" t="s">
        <v>311</v>
      </c>
      <c r="Q403" s="1421"/>
      <c r="R403" s="1421"/>
      <c r="S403" s="1421"/>
      <c r="T403" s="1421"/>
      <c r="U403" s="1421"/>
      <c r="V403" t="s">
        <v>1161</v>
      </c>
      <c r="AG403" s="1436"/>
      <c r="AH403" s="1436"/>
      <c r="AI403" s="1436"/>
      <c r="AJ403" s="1436"/>
    </row>
    <row r="404" spans="4:36" ht="12.95" customHeight="1">
      <c r="D404" t="s">
        <v>1160</v>
      </c>
      <c r="AG404" s="1436"/>
      <c r="AH404" s="1436"/>
      <c r="AI404" s="1436"/>
      <c r="AJ404" s="1436"/>
    </row>
    <row r="405" spans="4:36" ht="12.95" customHeight="1">
      <c r="AG405" s="456"/>
      <c r="AH405" s="456"/>
      <c r="AI405" s="456"/>
      <c r="AJ405" s="456"/>
    </row>
    <row r="406" spans="4:36" ht="12.95" customHeight="1">
      <c r="D406" s="3" t="s">
        <v>2095</v>
      </c>
      <c r="AG406" s="456"/>
      <c r="AH406" s="456"/>
      <c r="AI406" s="1306" t="s">
        <v>667</v>
      </c>
      <c r="AJ406" s="1306"/>
    </row>
    <row r="407" spans="4:36" ht="12.95" customHeight="1">
      <c r="D407" s="3" t="s">
        <v>1654</v>
      </c>
      <c r="T407" s="1389" t="s">
        <v>589</v>
      </c>
      <c r="U407" s="1389"/>
      <c r="V407" s="1389"/>
      <c r="W407" s="1389"/>
      <c r="X407" s="1389"/>
      <c r="Y407" s="1389"/>
      <c r="Z407" s="1389"/>
      <c r="AA407" s="1389"/>
      <c r="AB407" s="1389"/>
      <c r="AC407" s="1389"/>
      <c r="AD407" s="1389"/>
      <c r="AE407" s="1389"/>
      <c r="AF407" s="1389"/>
      <c r="AG407" s="1389"/>
      <c r="AH407" s="1389"/>
      <c r="AI407" s="1389"/>
      <c r="AJ407" s="1389"/>
    </row>
    <row r="408" spans="4:36" ht="12.95" customHeight="1">
      <c r="D408" s="3" t="s">
        <v>1653</v>
      </c>
      <c r="T408" s="1389" t="s">
        <v>589</v>
      </c>
      <c r="U408" s="1389"/>
      <c r="V408" s="1389"/>
      <c r="W408" s="1389"/>
      <c r="X408" s="1389"/>
      <c r="Y408" s="1389"/>
      <c r="Z408" s="1389"/>
      <c r="AA408" s="1389"/>
      <c r="AB408" s="1389"/>
      <c r="AC408" s="1389"/>
      <c r="AD408" s="1389"/>
      <c r="AE408" s="1389"/>
      <c r="AF408" s="1389"/>
      <c r="AG408" s="1389"/>
      <c r="AH408" s="1389"/>
      <c r="AI408" s="1389"/>
      <c r="AJ408" s="1389"/>
    </row>
    <row r="409" spans="4:36" ht="12.95" customHeight="1">
      <c r="AG409" s="456"/>
      <c r="AH409" s="456"/>
      <c r="AI409" s="456"/>
      <c r="AJ409" s="456"/>
    </row>
    <row r="410" spans="4:36" ht="12.95" customHeight="1">
      <c r="D410" s="3" t="s">
        <v>1647</v>
      </c>
      <c r="S410" s="1389" t="s">
        <v>667</v>
      </c>
      <c r="T410" s="1389"/>
      <c r="U410" s="1389"/>
      <c r="V410" t="s">
        <v>1648</v>
      </c>
      <c r="AG410" s="1437"/>
      <c r="AH410" s="1437"/>
      <c r="AI410" s="1437"/>
      <c r="AJ410" s="1437"/>
    </row>
    <row r="411" spans="4:36" ht="12.95" customHeight="1">
      <c r="D411" s="3" t="s">
        <v>1645</v>
      </c>
      <c r="S411" s="1389" t="s">
        <v>589</v>
      </c>
      <c r="T411" s="1389"/>
      <c r="U411" s="1389"/>
      <c r="V411" t="s">
        <v>1650</v>
      </c>
      <c r="AE411" s="1427"/>
      <c r="AF411" s="1427"/>
      <c r="AG411" s="1427"/>
      <c r="AH411" s="1427"/>
      <c r="AI411" s="1427"/>
      <c r="AJ411" s="1427"/>
    </row>
    <row r="412" spans="4:36" ht="12.95" customHeight="1">
      <c r="D412" s="3" t="s">
        <v>1646</v>
      </c>
      <c r="K412" s="1470" t="s">
        <v>589</v>
      </c>
      <c r="L412" s="1470"/>
      <c r="M412" s="1470"/>
      <c r="N412" s="1470"/>
      <c r="O412" s="1470"/>
      <c r="P412" s="1470"/>
      <c r="Q412" s="1470"/>
      <c r="R412" s="1470"/>
      <c r="S412" s="1470"/>
      <c r="T412" s="1470"/>
      <c r="U412" s="1470"/>
      <c r="V412" s="1470"/>
      <c r="W412" s="1470"/>
      <c r="X412" s="1470"/>
      <c r="Y412" s="1470"/>
      <c r="Z412" s="1470"/>
      <c r="AA412" s="1470"/>
      <c r="AB412" s="1470"/>
      <c r="AC412" s="1470"/>
      <c r="AD412" s="1470"/>
      <c r="AE412" s="1470"/>
      <c r="AF412" s="1470"/>
      <c r="AG412" s="1470"/>
      <c r="AH412" s="1470"/>
      <c r="AI412" s="1470"/>
      <c r="AJ412" s="1470"/>
    </row>
    <row r="413" spans="4:36" ht="12.95" customHeight="1">
      <c r="D413" s="3" t="s">
        <v>1649</v>
      </c>
      <c r="K413" s="1470" t="s">
        <v>589</v>
      </c>
      <c r="L413" s="1470"/>
      <c r="M413" s="1470"/>
      <c r="N413" s="1470"/>
      <c r="O413" s="1470"/>
      <c r="P413" s="1470"/>
      <c r="Q413" s="1470"/>
      <c r="R413" s="1470"/>
      <c r="S413" s="1470"/>
      <c r="T413" s="1470"/>
      <c r="U413" s="1470"/>
      <c r="V413" s="1470"/>
      <c r="W413" s="1470"/>
      <c r="X413" s="1470"/>
      <c r="Y413" s="1470"/>
      <c r="Z413" s="1470"/>
      <c r="AA413" s="1470"/>
      <c r="AB413" s="1470"/>
      <c r="AC413" s="1470"/>
      <c r="AD413" s="1470"/>
      <c r="AE413" s="1470"/>
      <c r="AF413" s="1470"/>
      <c r="AG413" s="1470"/>
      <c r="AH413" s="1470"/>
      <c r="AI413" s="1470"/>
      <c r="AJ413" s="1470"/>
    </row>
    <row r="414" spans="4:36" ht="12.95" customHeight="1">
      <c r="D414" s="3" t="s">
        <v>1652</v>
      </c>
      <c r="E414" s="477"/>
      <c r="F414" s="477"/>
      <c r="G414" s="477"/>
      <c r="H414" s="477"/>
      <c r="I414" s="477"/>
      <c r="J414" s="477"/>
      <c r="K414" s="477"/>
      <c r="L414" s="477"/>
      <c r="M414" s="477"/>
      <c r="N414" s="477"/>
      <c r="O414" s="477"/>
      <c r="P414" s="477"/>
      <c r="Q414" s="477"/>
      <c r="R414" s="477"/>
      <c r="S414" s="1442" t="s">
        <v>1182</v>
      </c>
      <c r="T414" s="1442"/>
      <c r="U414" s="1442"/>
      <c r="V414" s="1442"/>
      <c r="W414" s="1442"/>
      <c r="X414" s="1442"/>
      <c r="Y414" s="1442"/>
      <c r="Z414" s="1442"/>
      <c r="AA414" s="1442"/>
      <c r="AB414" s="1442"/>
      <c r="AC414" s="1442"/>
      <c r="AD414" s="1442"/>
      <c r="AE414" s="1442"/>
      <c r="AF414" s="1442"/>
      <c r="AG414" s="1442"/>
      <c r="AH414" s="1442"/>
      <c r="AI414" s="1442"/>
      <c r="AJ414" s="1442"/>
    </row>
    <row r="415" spans="4:36" ht="12.95" customHeight="1">
      <c r="D415" s="1500" t="s">
        <v>1651</v>
      </c>
      <c r="E415" s="1500"/>
      <c r="F415" s="1500"/>
      <c r="G415" s="1500"/>
      <c r="H415" s="1500"/>
      <c r="I415" s="1500"/>
      <c r="J415" s="1500"/>
      <c r="K415" s="1500"/>
      <c r="L415" s="1500"/>
      <c r="M415" s="1500"/>
      <c r="N415" s="1500"/>
      <c r="O415" s="1500"/>
      <c r="P415" s="1500"/>
      <c r="Q415" s="1500"/>
      <c r="R415" s="1500"/>
      <c r="S415" s="1500"/>
      <c r="T415" s="1500"/>
      <c r="U415" s="1500"/>
      <c r="V415" s="1500"/>
      <c r="W415" s="1500"/>
      <c r="X415" s="1500"/>
      <c r="Y415" s="1500"/>
      <c r="Z415" s="1500"/>
      <c r="AA415" s="1500"/>
      <c r="AB415" s="1500"/>
      <c r="AC415" s="1500"/>
      <c r="AD415" s="1500"/>
      <c r="AE415" s="1500"/>
      <c r="AF415" s="1500"/>
      <c r="AG415" s="1500"/>
      <c r="AH415" s="1500"/>
      <c r="AI415" s="1500"/>
      <c r="AJ415" s="1500"/>
    </row>
    <row r="416" spans="4:36" ht="12.95" customHeight="1">
      <c r="D416" s="1500"/>
      <c r="E416" s="1500"/>
      <c r="F416" s="1500"/>
      <c r="G416" s="1500"/>
      <c r="H416" s="1500"/>
      <c r="I416" s="1500"/>
      <c r="J416" s="1500"/>
      <c r="K416" s="1500"/>
      <c r="L416" s="1500"/>
      <c r="M416" s="1500"/>
      <c r="N416" s="1500"/>
      <c r="O416" s="1500"/>
      <c r="P416" s="1500"/>
      <c r="Q416" s="1500"/>
      <c r="R416" s="1500"/>
      <c r="S416" s="1500"/>
      <c r="T416" s="1500"/>
      <c r="U416" s="1500"/>
      <c r="V416" s="1500"/>
      <c r="W416" s="1500"/>
      <c r="X416" s="1500"/>
      <c r="Y416" s="1500"/>
      <c r="Z416" s="1500"/>
      <c r="AA416" s="1500"/>
      <c r="AB416" s="1500"/>
      <c r="AC416" s="1500"/>
      <c r="AD416" s="1500"/>
      <c r="AE416" s="1500"/>
      <c r="AF416" s="1500"/>
      <c r="AG416" s="1500"/>
      <c r="AH416" s="1500"/>
      <c r="AI416" s="1500"/>
      <c r="AJ416" s="1500"/>
    </row>
    <row r="417" spans="1:39" ht="12.95" customHeight="1">
      <c r="AG417" s="456"/>
      <c r="AH417" s="456"/>
      <c r="AI417" s="456"/>
      <c r="AJ417" s="456"/>
    </row>
    <row r="418" spans="1:39" ht="12.95" customHeight="1">
      <c r="A418" s="2" t="s">
        <v>587</v>
      </c>
      <c r="B418" s="2"/>
      <c r="C418" s="2" t="s">
        <v>111</v>
      </c>
    </row>
    <row r="419" spans="1:39" ht="12.95" customHeight="1">
      <c r="B419" s="2"/>
      <c r="C419" s="2"/>
      <c r="D419" s="2" t="s">
        <v>1202</v>
      </c>
      <c r="I419" s="1435" t="s">
        <v>2729</v>
      </c>
      <c r="J419" s="1435"/>
      <c r="K419" s="1435"/>
      <c r="L419" s="1435"/>
      <c r="M419" s="1435"/>
      <c r="N419" s="1435"/>
      <c r="O419" s="1435"/>
      <c r="P419" s="1435"/>
      <c r="Q419" s="1435"/>
      <c r="R419" s="1435"/>
      <c r="S419" s="1435"/>
      <c r="T419" s="1435"/>
      <c r="U419" s="1435"/>
      <c r="V419" s="1435"/>
      <c r="W419" s="1435"/>
      <c r="X419" s="1435"/>
      <c r="Y419" s="1435"/>
      <c r="Z419" s="1435"/>
      <c r="AA419" s="1435"/>
      <c r="AB419" s="1435"/>
      <c r="AC419" s="1435"/>
      <c r="AD419" s="1435"/>
      <c r="AE419" s="1435"/>
    </row>
    <row r="420" spans="1:39" ht="12.95" customHeight="1">
      <c r="E420" t="s">
        <v>106</v>
      </c>
      <c r="R420" s="1306" t="s">
        <v>589</v>
      </c>
      <c r="S420" s="1306"/>
      <c r="AC420" s="27" t="s">
        <v>568</v>
      </c>
      <c r="AD420" s="1316"/>
      <c r="AE420" s="1316"/>
    </row>
    <row r="421" spans="1:39" ht="12.95" customHeight="1">
      <c r="E421" t="s">
        <v>107</v>
      </c>
      <c r="R421" s="1306" t="s">
        <v>543</v>
      </c>
      <c r="S421" s="1306"/>
      <c r="AC421" s="27" t="s">
        <v>568</v>
      </c>
      <c r="AD421" s="1316">
        <v>3</v>
      </c>
      <c r="AE421" s="1316"/>
    </row>
    <row r="422" spans="1:39" ht="12.95" customHeight="1">
      <c r="E422" t="s">
        <v>108</v>
      </c>
      <c r="S422" s="1306" t="s">
        <v>589</v>
      </c>
      <c r="T422" s="1306"/>
    </row>
    <row r="423" spans="1:39" ht="12.95" customHeight="1">
      <c r="E423" t="s">
        <v>169</v>
      </c>
      <c r="H423" s="1422" t="s">
        <v>2730</v>
      </c>
      <c r="I423" s="1422"/>
      <c r="J423" s="1422"/>
      <c r="K423" s="1422"/>
      <c r="L423" s="1422"/>
      <c r="M423" s="1422"/>
      <c r="N423" s="1422"/>
      <c r="O423" s="1422"/>
      <c r="P423" s="1422"/>
      <c r="Q423" s="1422"/>
      <c r="R423" s="1422"/>
      <c r="S423" s="1422"/>
      <c r="T423" s="1422"/>
      <c r="U423" s="1422"/>
      <c r="V423" s="1422"/>
      <c r="W423" s="1422"/>
      <c r="X423" s="1422"/>
      <c r="Y423" s="1422"/>
      <c r="Z423" s="1422"/>
      <c r="AA423" s="1422"/>
      <c r="AB423" s="1422"/>
      <c r="AC423" s="1422"/>
      <c r="AD423" s="1422"/>
      <c r="AE423" s="1422"/>
    </row>
    <row r="424" spans="1:39" ht="12.95" customHeight="1">
      <c r="H424" s="1423"/>
      <c r="I424" s="1423"/>
      <c r="J424" s="1423"/>
      <c r="K424" s="1423"/>
      <c r="L424" s="1423"/>
      <c r="M424" s="1423"/>
      <c r="N424" s="1423"/>
      <c r="O424" s="1423"/>
      <c r="P424" s="1423"/>
      <c r="Q424" s="1423"/>
      <c r="R424" s="1423"/>
      <c r="S424" s="1423"/>
      <c r="T424" s="1423"/>
      <c r="U424" s="1423"/>
      <c r="V424" s="1423"/>
      <c r="W424" s="1423"/>
      <c r="X424" s="1423"/>
      <c r="Y424" s="1423"/>
      <c r="Z424" s="1423"/>
      <c r="AA424" s="1423"/>
      <c r="AB424" s="1423"/>
      <c r="AC424" s="1423"/>
      <c r="AD424" s="1423"/>
      <c r="AE424" s="1423"/>
    </row>
    <row r="425" spans="1:39" ht="12.95" customHeight="1"/>
    <row r="426" spans="1:39" ht="12.95" customHeight="1">
      <c r="A426" s="2" t="s">
        <v>588</v>
      </c>
      <c r="B426" s="2"/>
      <c r="C426" s="2"/>
      <c r="D426" s="2" t="s">
        <v>114</v>
      </c>
      <c r="AF426" s="2" t="s">
        <v>955</v>
      </c>
    </row>
    <row r="427" spans="1:39" ht="12.95" customHeight="1">
      <c r="E427" s="1440"/>
      <c r="F427" s="1440"/>
      <c r="G427" s="1440"/>
      <c r="H427" s="13" t="s">
        <v>115</v>
      </c>
      <c r="I427" s="1440"/>
      <c r="J427" s="1440"/>
      <c r="K427" s="1440"/>
      <c r="L427" t="s">
        <v>116</v>
      </c>
      <c r="N427" s="27" t="s">
        <v>573</v>
      </c>
      <c r="P427" s="1443">
        <v>9.98</v>
      </c>
      <c r="Q427" s="1443"/>
      <c r="R427" s="1443"/>
      <c r="S427" t="s">
        <v>117</v>
      </c>
      <c r="W427" s="1441">
        <f>IF(E427&gt;0,(E427*I427),(P427*43560))</f>
        <v>434728.80000000005</v>
      </c>
      <c r="X427" s="1441"/>
      <c r="Y427" s="1441"/>
      <c r="Z427" t="s">
        <v>118</v>
      </c>
      <c r="AF427" s="1496">
        <f>IFERROR(IF(P427&gt;0,(AG446/P427),(AG446/(W427/43560))),0)</f>
        <v>24.048096192384769</v>
      </c>
      <c r="AG427" s="1496"/>
      <c r="AH427" s="1496"/>
      <c r="AM427" s="3"/>
    </row>
    <row r="428" spans="1:39" ht="12.95" customHeight="1">
      <c r="E428" t="s">
        <v>51</v>
      </c>
    </row>
    <row r="429" spans="1:39" ht="12.95" customHeight="1">
      <c r="E429" s="1425"/>
      <c r="F429" s="1425"/>
      <c r="G429" s="1425"/>
      <c r="H429" s="1425"/>
      <c r="I429" s="1425"/>
      <c r="J429" s="1425"/>
      <c r="K429" s="1425"/>
      <c r="L429" s="1425"/>
      <c r="M429" s="1425"/>
      <c r="N429" s="1425"/>
      <c r="O429" s="1425"/>
      <c r="P429" s="1425"/>
      <c r="Q429" s="1425"/>
      <c r="R429" s="1425"/>
      <c r="S429" s="1425"/>
      <c r="T429" s="1425"/>
      <c r="U429" s="1425"/>
      <c r="V429" s="1425"/>
      <c r="W429" s="1425"/>
      <c r="X429" s="1425"/>
      <c r="Y429" s="1425"/>
      <c r="Z429" s="1425"/>
      <c r="AA429" s="1425"/>
      <c r="AB429" s="1425"/>
      <c r="AC429" s="1425"/>
      <c r="AD429" s="1425"/>
      <c r="AE429" s="1425"/>
      <c r="AF429" s="1425"/>
      <c r="AG429" s="1425"/>
      <c r="AH429" s="1425"/>
      <c r="AI429" s="1425"/>
      <c r="AJ429" s="1425"/>
    </row>
    <row r="430" spans="1:39" ht="12.95" customHeight="1">
      <c r="E430" s="118" t="s">
        <v>1722</v>
      </c>
      <c r="F430" s="1008"/>
      <c r="G430" s="1008"/>
      <c r="H430" s="1008"/>
      <c r="I430" s="1430">
        <v>9.81</v>
      </c>
      <c r="J430" s="1430"/>
      <c r="K430" s="1430"/>
      <c r="L430" s="1008"/>
      <c r="M430" s="118"/>
      <c r="N430" s="1008"/>
      <c r="O430" s="1008"/>
      <c r="P430" s="1762">
        <f>(DU763+DU786+DU808)/I430</f>
        <v>61.162079510703364</v>
      </c>
      <c r="Q430" s="1762"/>
      <c r="R430" s="1762"/>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590</v>
      </c>
      <c r="B432" s="2"/>
      <c r="C432" s="2"/>
      <c r="D432" s="2" t="s">
        <v>120</v>
      </c>
    </row>
    <row r="433" spans="1:36" ht="12.95" customHeight="1">
      <c r="E433" t="s">
        <v>121</v>
      </c>
      <c r="P433" s="1306">
        <v>9</v>
      </c>
      <c r="Q433" s="1306"/>
      <c r="S433" t="s">
        <v>188</v>
      </c>
      <c r="AE433" s="1306">
        <v>8</v>
      </c>
      <c r="AF433" s="1306"/>
    </row>
    <row r="434" spans="1:36" ht="12.95" customHeight="1">
      <c r="E434" t="s">
        <v>189</v>
      </c>
      <c r="P434" s="1306">
        <v>1</v>
      </c>
      <c r="Q434" s="1306"/>
      <c r="S434" t="s">
        <v>131</v>
      </c>
      <c r="AE434" s="1306" t="s">
        <v>589</v>
      </c>
      <c r="AF434" s="1306"/>
    </row>
    <row r="435" spans="1:36" ht="12.95" customHeight="1">
      <c r="F435" s="28" t="s">
        <v>132</v>
      </c>
    </row>
    <row r="436" spans="1:36" ht="12.95" customHeight="1">
      <c r="F436" s="1448"/>
      <c r="G436" s="1448"/>
      <c r="H436" s="1448"/>
      <c r="I436" s="1448"/>
      <c r="J436" s="1448"/>
      <c r="K436" s="1448"/>
      <c r="L436" s="1448"/>
      <c r="M436" s="1448"/>
      <c r="N436" s="1448"/>
      <c r="O436" s="1448"/>
      <c r="P436" s="1448"/>
      <c r="Q436" s="1448"/>
      <c r="R436" s="1448"/>
      <c r="S436" s="1448"/>
      <c r="T436" s="1448"/>
      <c r="U436" s="1448"/>
      <c r="V436" s="1448"/>
      <c r="W436" s="1448"/>
      <c r="X436" s="1448"/>
      <c r="Y436" s="1448"/>
      <c r="Z436" s="1448"/>
      <c r="AA436" s="1448"/>
      <c r="AB436" s="1448"/>
      <c r="AC436" s="1448"/>
      <c r="AD436" s="1448"/>
      <c r="AE436" s="1448"/>
      <c r="AF436" s="1448"/>
      <c r="AG436" s="1448"/>
      <c r="AH436" s="1448"/>
    </row>
    <row r="437" spans="1:36" ht="12.95" customHeight="1">
      <c r="F437" s="1449"/>
      <c r="G437" s="1449"/>
      <c r="H437" s="1449"/>
      <c r="I437" s="1449"/>
      <c r="J437" s="1449"/>
      <c r="K437" s="1449"/>
      <c r="L437" s="1449"/>
      <c r="M437" s="1449"/>
      <c r="N437" s="1449"/>
      <c r="O437" s="1449"/>
      <c r="P437" s="1449"/>
      <c r="Q437" s="1449"/>
      <c r="R437" s="1449"/>
      <c r="S437" s="1449"/>
      <c r="T437" s="1449"/>
      <c r="U437" s="1449"/>
      <c r="V437" s="1449"/>
      <c r="W437" s="1449"/>
      <c r="X437" s="1449"/>
      <c r="Y437" s="1449"/>
      <c r="Z437" s="1449"/>
      <c r="AA437" s="1449"/>
      <c r="AB437" s="1449"/>
      <c r="AC437" s="1449"/>
      <c r="AD437" s="1449"/>
      <c r="AE437" s="1449"/>
      <c r="AF437" s="1449"/>
      <c r="AG437" s="1449"/>
      <c r="AH437" s="1449"/>
    </row>
    <row r="438" spans="1:36" ht="12.95" customHeight="1">
      <c r="E438" t="s">
        <v>606</v>
      </c>
      <c r="P438" s="1"/>
      <c r="Q438" s="1306" t="s">
        <v>543</v>
      </c>
      <c r="R438" s="1306"/>
    </row>
    <row r="439" spans="1:36" ht="12.95" customHeight="1">
      <c r="F439" t="s">
        <v>607</v>
      </c>
      <c r="P439" s="1"/>
      <c r="Q439" s="1"/>
      <c r="AF439" s="1306" t="s">
        <v>589</v>
      </c>
      <c r="AG439" s="1429"/>
    </row>
    <row r="440" spans="1:36" ht="12.95" customHeight="1"/>
    <row r="441" spans="1:36" ht="12.95" customHeight="1">
      <c r="A441" s="2"/>
      <c r="B441" s="2"/>
      <c r="C441" s="2"/>
      <c r="E441" s="4" t="s">
        <v>307</v>
      </c>
      <c r="Z441" s="1306" t="s">
        <v>667</v>
      </c>
      <c r="AA441" s="1306"/>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705</v>
      </c>
      <c r="G443" s="40"/>
      <c r="I443" s="40"/>
      <c r="J443" s="40"/>
      <c r="K443" s="40"/>
      <c r="L443" s="40"/>
      <c r="M443" s="40"/>
      <c r="N443" s="40"/>
      <c r="O443" s="28"/>
      <c r="P443" s="40"/>
      <c r="Q443" s="40"/>
      <c r="R443" s="40"/>
      <c r="S443" s="40"/>
      <c r="T443" s="40"/>
      <c r="U443" s="40"/>
      <c r="V443" s="40"/>
      <c r="W443" s="40"/>
      <c r="Z443" s="1306" t="s">
        <v>589</v>
      </c>
      <c r="AA443" s="1306"/>
    </row>
    <row r="444" spans="1:36" ht="12.95" customHeight="1"/>
    <row r="445" spans="1:36" ht="12.95" customHeight="1">
      <c r="A445" s="2" t="s">
        <v>465</v>
      </c>
      <c r="B445" s="2"/>
      <c r="C445" s="2"/>
      <c r="D445" s="2" t="s">
        <v>762</v>
      </c>
      <c r="AF445" s="48"/>
    </row>
    <row r="446" spans="1:36" ht="12.95" customHeight="1">
      <c r="D446" s="1320" t="s">
        <v>43</v>
      </c>
      <c r="E446" s="1321"/>
      <c r="F446" s="1321"/>
      <c r="G446" s="1321"/>
      <c r="H446" s="1321"/>
      <c r="I446" s="1321"/>
      <c r="J446" s="1321"/>
      <c r="K446" s="1321"/>
      <c r="L446" s="1321"/>
      <c r="M446" s="1321"/>
      <c r="N446" s="1321"/>
      <c r="O446" s="1321"/>
      <c r="P446" s="1321"/>
      <c r="Q446" s="1321"/>
      <c r="R446" s="1321"/>
      <c r="S446" s="1321"/>
      <c r="T446" s="1321"/>
      <c r="U446" s="1321"/>
      <c r="V446" s="1321"/>
      <c r="W446" s="1321"/>
      <c r="X446" s="1321"/>
      <c r="Y446" s="1321"/>
      <c r="Z446" s="1321"/>
      <c r="AA446" s="1321"/>
      <c r="AB446" s="1321"/>
      <c r="AC446" s="1321"/>
      <c r="AD446" s="1321"/>
      <c r="AE446" s="1321"/>
      <c r="AF446" s="1322"/>
      <c r="AG446" s="1428">
        <v>240</v>
      </c>
      <c r="AH446" s="1428"/>
      <c r="AI446" s="1428"/>
      <c r="AJ446" s="1428"/>
    </row>
    <row r="447" spans="1:36" ht="12.95" customHeight="1">
      <c r="D447" s="1410" t="s">
        <v>1220</v>
      </c>
      <c r="E447" s="1411"/>
      <c r="F447" s="1411"/>
      <c r="G447" s="1411"/>
      <c r="H447" s="1411"/>
      <c r="I447" s="1411"/>
      <c r="J447" s="1411"/>
      <c r="K447" s="1411"/>
      <c r="L447" s="1411"/>
      <c r="M447" s="1411"/>
      <c r="N447" s="1411"/>
      <c r="O447" s="1411"/>
      <c r="P447" s="1411"/>
      <c r="Q447" s="1411"/>
      <c r="R447" s="1411"/>
      <c r="S447" s="1411"/>
      <c r="T447" s="1411"/>
      <c r="U447" s="1411"/>
      <c r="V447" s="1411"/>
      <c r="W447" s="1411"/>
      <c r="X447" s="1411"/>
      <c r="Y447" s="1411"/>
      <c r="Z447" s="1411"/>
      <c r="AA447" s="1411"/>
      <c r="AB447" s="1411"/>
      <c r="AC447" s="1411"/>
      <c r="AD447" s="1411"/>
      <c r="AE447" s="1411"/>
      <c r="AF447" s="1412"/>
      <c r="AG447" s="1431">
        <v>0</v>
      </c>
      <c r="AH447" s="1432"/>
      <c r="AI447" s="1432"/>
      <c r="AJ447" s="1432"/>
    </row>
    <row r="448" spans="1:36" ht="12.95" customHeight="1">
      <c r="D448" s="1410" t="s">
        <v>1029</v>
      </c>
      <c r="E448" s="1411"/>
      <c r="F448" s="1411"/>
      <c r="G448" s="1411"/>
      <c r="H448" s="1411"/>
      <c r="I448" s="1411"/>
      <c r="J448" s="1411"/>
      <c r="K448" s="1411"/>
      <c r="L448" s="1411"/>
      <c r="M448" s="1411"/>
      <c r="N448" s="1411"/>
      <c r="O448" s="1411"/>
      <c r="P448" s="1411"/>
      <c r="Q448" s="1411"/>
      <c r="R448" s="1411"/>
      <c r="S448" s="1411"/>
      <c r="T448" s="1411"/>
      <c r="U448" s="1411"/>
      <c r="V448" s="1411"/>
      <c r="W448" s="1411"/>
      <c r="X448" s="1411"/>
      <c r="Y448" s="1411"/>
      <c r="Z448" s="1411"/>
      <c r="AA448" s="1411"/>
      <c r="AB448" s="1411"/>
      <c r="AC448" s="1411"/>
      <c r="AD448" s="1411"/>
      <c r="AE448" s="1411"/>
      <c r="AF448" s="1412"/>
      <c r="AG448" s="1428">
        <v>237</v>
      </c>
      <c r="AH448" s="1428"/>
      <c r="AI448" s="1428"/>
      <c r="AJ448" s="1428"/>
    </row>
    <row r="449" spans="4:55" ht="12.95" customHeight="1">
      <c r="D449" s="1410" t="s">
        <v>1030</v>
      </c>
      <c r="E449" s="1411"/>
      <c r="F449" s="1411"/>
      <c r="G449" s="1411"/>
      <c r="H449" s="1411"/>
      <c r="I449" s="1411"/>
      <c r="J449" s="1411"/>
      <c r="K449" s="1411"/>
      <c r="L449" s="1411"/>
      <c r="M449" s="1411"/>
      <c r="N449" s="1411"/>
      <c r="O449" s="1411"/>
      <c r="P449" s="1411"/>
      <c r="Q449" s="1411"/>
      <c r="R449" s="1411"/>
      <c r="S449" s="1411"/>
      <c r="T449" s="1411"/>
      <c r="U449" s="1411"/>
      <c r="V449" s="1411"/>
      <c r="W449" s="1411"/>
      <c r="X449" s="1411"/>
      <c r="Y449" s="1411"/>
      <c r="Z449" s="1411"/>
      <c r="AA449" s="1411"/>
      <c r="AB449" s="1411"/>
      <c r="AC449" s="1411"/>
      <c r="AD449" s="1411"/>
      <c r="AE449" s="1411"/>
      <c r="AF449" s="1412"/>
      <c r="AG449" s="1428">
        <v>237</v>
      </c>
      <c r="AH449" s="1428"/>
      <c r="AI449" s="1428"/>
      <c r="AJ449" s="1428"/>
    </row>
    <row r="450" spans="4:55" ht="12.95" customHeight="1">
      <c r="D450" s="1410" t="s">
        <v>1032</v>
      </c>
      <c r="E450" s="1411"/>
      <c r="F450" s="1411"/>
      <c r="G450" s="1411"/>
      <c r="H450" s="1411"/>
      <c r="I450" s="1411"/>
      <c r="J450" s="1411"/>
      <c r="K450" s="1411"/>
      <c r="L450" s="1411"/>
      <c r="M450" s="1411"/>
      <c r="N450" s="1411"/>
      <c r="O450" s="1411"/>
      <c r="P450" s="1411"/>
      <c r="Q450" s="1411"/>
      <c r="R450" s="1411"/>
      <c r="S450" s="1411"/>
      <c r="T450" s="1411"/>
      <c r="U450" s="1411"/>
      <c r="V450" s="1411"/>
      <c r="W450" s="1411"/>
      <c r="X450" s="1411"/>
      <c r="Y450" s="1411"/>
      <c r="Z450" s="1411"/>
      <c r="AA450" s="1411"/>
      <c r="AB450" s="1411"/>
      <c r="AC450" s="1411"/>
      <c r="AD450" s="1411"/>
      <c r="AE450" s="1411"/>
      <c r="AF450" s="1412"/>
      <c r="AG450" s="1314">
        <f>IF(ISERROR(AG449/AG448),0,AG449/AG448)</f>
        <v>1</v>
      </c>
      <c r="AH450" s="1314"/>
      <c r="AI450" s="1314"/>
      <c r="AJ450" s="1314"/>
    </row>
    <row r="451" spans="4:55" ht="12.95" customHeight="1">
      <c r="D451" s="1410" t="s">
        <v>1031</v>
      </c>
      <c r="E451" s="1411"/>
      <c r="F451" s="1411"/>
      <c r="G451" s="1411"/>
      <c r="H451" s="1411"/>
      <c r="I451" s="1411"/>
      <c r="J451" s="1411"/>
      <c r="K451" s="1411"/>
      <c r="L451" s="1411"/>
      <c r="M451" s="1411"/>
      <c r="N451" s="1411"/>
      <c r="O451" s="1411"/>
      <c r="P451" s="1411"/>
      <c r="Q451" s="1411"/>
      <c r="R451" s="1411"/>
      <c r="S451" s="1411"/>
      <c r="T451" s="1411"/>
      <c r="U451" s="1411"/>
      <c r="V451" s="1411"/>
      <c r="W451" s="1411"/>
      <c r="X451" s="1411"/>
      <c r="Y451" s="1411"/>
      <c r="Z451" s="1411"/>
      <c r="AA451" s="1411"/>
      <c r="AB451" s="1411"/>
      <c r="AC451" s="1411"/>
      <c r="AD451" s="1411"/>
      <c r="AE451" s="1411"/>
      <c r="AF451" s="1412"/>
      <c r="AG451" s="1420">
        <f>235764-20138-823-1002-1002</f>
        <v>212799</v>
      </c>
      <c r="AH451" s="1420"/>
      <c r="AI451" s="1420"/>
      <c r="AJ451" s="1420"/>
    </row>
    <row r="452" spans="4:55" ht="12.95" customHeight="1">
      <c r="D452" s="1410" t="s">
        <v>1033</v>
      </c>
      <c r="E452" s="1411"/>
      <c r="F452" s="1411"/>
      <c r="G452" s="1411"/>
      <c r="H452" s="1411"/>
      <c r="I452" s="1411"/>
      <c r="J452" s="1411"/>
      <c r="K452" s="1411"/>
      <c r="L452" s="1411"/>
      <c r="M452" s="1411"/>
      <c r="N452" s="1411"/>
      <c r="O452" s="1411"/>
      <c r="P452" s="1411"/>
      <c r="Q452" s="1411"/>
      <c r="R452" s="1411"/>
      <c r="S452" s="1411"/>
      <c r="T452" s="1411"/>
      <c r="U452" s="1411"/>
      <c r="V452" s="1411"/>
      <c r="W452" s="1411"/>
      <c r="X452" s="1411"/>
      <c r="Y452" s="1411"/>
      <c r="Z452" s="1411"/>
      <c r="AA452" s="1411"/>
      <c r="AB452" s="1411"/>
      <c r="AC452" s="1411"/>
      <c r="AD452" s="1411"/>
      <c r="AE452" s="1411"/>
      <c r="AF452" s="1412"/>
      <c r="AG452" s="1420">
        <f>+AG451</f>
        <v>212799</v>
      </c>
      <c r="AH452" s="1420"/>
      <c r="AI452" s="1420"/>
      <c r="AJ452" s="1420"/>
    </row>
    <row r="453" spans="4:55" ht="12.95" customHeight="1">
      <c r="D453" s="1410" t="s">
        <v>1034</v>
      </c>
      <c r="E453" s="1411"/>
      <c r="F453" s="1411"/>
      <c r="G453" s="1411"/>
      <c r="H453" s="1411"/>
      <c r="I453" s="1411"/>
      <c r="J453" s="1411"/>
      <c r="K453" s="1411"/>
      <c r="L453" s="1411"/>
      <c r="M453" s="1411"/>
      <c r="N453" s="1411"/>
      <c r="O453" s="1411"/>
      <c r="P453" s="1411"/>
      <c r="Q453" s="1411"/>
      <c r="R453" s="1411"/>
      <c r="S453" s="1411"/>
      <c r="T453" s="1411"/>
      <c r="U453" s="1411"/>
      <c r="V453" s="1411"/>
      <c r="W453" s="1411"/>
      <c r="X453" s="1411"/>
      <c r="Y453" s="1411"/>
      <c r="Z453" s="1411"/>
      <c r="AA453" s="1411"/>
      <c r="AB453" s="1411"/>
      <c r="AC453" s="1411"/>
      <c r="AD453" s="1411"/>
      <c r="AE453" s="1411"/>
      <c r="AF453" s="1412"/>
      <c r="AG453" s="1314">
        <f>IF(ISERROR(AG452/AG451),0,AG452/AG451)</f>
        <v>1</v>
      </c>
      <c r="AH453" s="1314"/>
      <c r="AI453" s="1314"/>
      <c r="AJ453" s="1314"/>
    </row>
    <row r="454" spans="4:55" ht="12.95" customHeight="1">
      <c r="D454" s="1410" t="s">
        <v>1035</v>
      </c>
      <c r="E454" s="1411"/>
      <c r="F454" s="1411"/>
      <c r="G454" s="1411"/>
      <c r="H454" s="1411"/>
      <c r="I454" s="1411"/>
      <c r="J454" s="1411"/>
      <c r="K454" s="1411"/>
      <c r="L454" s="1411"/>
      <c r="M454" s="1411"/>
      <c r="N454" s="1411"/>
      <c r="O454" s="1411"/>
      <c r="P454" s="1411"/>
      <c r="Q454" s="1411"/>
      <c r="R454" s="1411"/>
      <c r="S454" s="1411"/>
      <c r="T454" s="1411"/>
      <c r="U454" s="1411"/>
      <c r="V454" s="1411"/>
      <c r="W454" s="1411"/>
      <c r="X454" s="1411"/>
      <c r="Y454" s="1411"/>
      <c r="Z454" s="1411"/>
      <c r="AA454" s="1411"/>
      <c r="AB454" s="1411"/>
      <c r="AC454" s="1411"/>
      <c r="AD454" s="1411"/>
      <c r="AE454" s="1411"/>
      <c r="AF454" s="1412"/>
      <c r="AG454" s="1314">
        <f>MIN(IF(AG450&gt;AG453,AG453,AG450),1)</f>
        <v>1</v>
      </c>
      <c r="AH454" s="1314"/>
      <c r="AI454" s="1314"/>
      <c r="AJ454" s="1314"/>
    </row>
    <row r="455" spans="4:55" ht="12.95" customHeight="1">
      <c r="D455" s="1410" t="s">
        <v>2040</v>
      </c>
      <c r="E455" s="1321"/>
      <c r="F455" s="1321"/>
      <c r="G455" s="1321"/>
      <c r="H455" s="1321"/>
      <c r="I455" s="1321"/>
      <c r="J455" s="1321"/>
      <c r="K455" s="1321"/>
      <c r="L455" s="1321"/>
      <c r="M455" s="1321"/>
      <c r="N455" s="1321"/>
      <c r="O455" s="1321"/>
      <c r="P455" s="1321"/>
      <c r="Q455" s="1321"/>
      <c r="R455" s="1321"/>
      <c r="S455" s="1321"/>
      <c r="T455" s="1321"/>
      <c r="U455" s="1321"/>
      <c r="V455" s="1321"/>
      <c r="W455" s="1321"/>
      <c r="X455" s="1321"/>
      <c r="Y455" s="1321"/>
      <c r="Z455" s="1321"/>
      <c r="AA455" s="1321"/>
      <c r="AB455" s="1321"/>
      <c r="AC455" s="1321"/>
      <c r="AD455" s="1321"/>
      <c r="AE455" s="1321"/>
      <c r="AF455" s="1322"/>
      <c r="AG455" s="1420">
        <v>5155</v>
      </c>
      <c r="AH455" s="1420"/>
      <c r="AI455" s="1420"/>
      <c r="AJ455" s="1420"/>
      <c r="AZ455" s="34"/>
      <c r="BA455" s="34"/>
      <c r="BB455" s="34"/>
      <c r="BC455" s="34"/>
    </row>
    <row r="456" spans="4:55" ht="12.95" customHeight="1">
      <c r="D456" s="1320" t="s">
        <v>567</v>
      </c>
      <c r="E456" s="1321"/>
      <c r="F456" s="1321"/>
      <c r="G456" s="1321"/>
      <c r="H456" s="1321"/>
      <c r="I456" s="1321"/>
      <c r="J456" s="1321"/>
      <c r="K456" s="1321"/>
      <c r="L456" s="1321"/>
      <c r="M456" s="1321"/>
      <c r="N456" s="1321"/>
      <c r="O456" s="1321"/>
      <c r="P456" s="1321"/>
      <c r="Q456" s="1321"/>
      <c r="R456" s="1321"/>
      <c r="S456" s="1321"/>
      <c r="T456" s="1321"/>
      <c r="U456" s="1321"/>
      <c r="V456" s="1321"/>
      <c r="W456" s="1321"/>
      <c r="X456" s="1321"/>
      <c r="Y456" s="1321"/>
      <c r="Z456" s="1321"/>
      <c r="AA456" s="1321"/>
      <c r="AB456" s="1321"/>
      <c r="AC456" s="1321"/>
      <c r="AD456" s="1321"/>
      <c r="AE456" s="1321"/>
      <c r="AF456" s="1322"/>
      <c r="AG456" s="1420">
        <v>0</v>
      </c>
      <c r="AH456" s="1420"/>
      <c r="AI456" s="1420"/>
      <c r="AJ456" s="1420"/>
      <c r="AZ456" s="3"/>
      <c r="BA456" s="3"/>
      <c r="BB456" s="3"/>
      <c r="BC456" s="3"/>
    </row>
    <row r="457" spans="4:55" ht="12.95" customHeight="1">
      <c r="D457" s="1410" t="s">
        <v>1203</v>
      </c>
      <c r="E457" s="1321"/>
      <c r="F457" s="1321"/>
      <c r="G457" s="1321"/>
      <c r="H457" s="1321"/>
      <c r="I457" s="1321"/>
      <c r="J457" s="1321"/>
      <c r="K457" s="1321"/>
      <c r="L457" s="1321"/>
      <c r="M457" s="1321"/>
      <c r="N457" s="1321"/>
      <c r="O457" s="1321"/>
      <c r="P457" s="1321"/>
      <c r="Q457" s="1321"/>
      <c r="R457" s="1321"/>
      <c r="S457" s="1321"/>
      <c r="T457" s="1321"/>
      <c r="U457" s="1321"/>
      <c r="V457" s="1321"/>
      <c r="W457" s="1321"/>
      <c r="X457" s="1321"/>
      <c r="Y457" s="1321"/>
      <c r="Z457" s="1321"/>
      <c r="AA457" s="1321"/>
      <c r="AB457" s="1321"/>
      <c r="AC457" s="1321"/>
      <c r="AD457" s="1321"/>
      <c r="AE457" s="1321"/>
      <c r="AF457" s="1322"/>
      <c r="AG457" s="1420">
        <f>291616-AG455-AG452-20138</f>
        <v>53524</v>
      </c>
      <c r="AH457" s="1420"/>
      <c r="AI457" s="1420"/>
      <c r="AJ457" s="1420"/>
      <c r="AZ457" s="3"/>
      <c r="BA457" s="3"/>
      <c r="BB457" s="3"/>
      <c r="BC457" s="3"/>
    </row>
    <row r="458" spans="4:55" ht="12.95" customHeight="1">
      <c r="D458" s="1410" t="s">
        <v>1036</v>
      </c>
      <c r="E458" s="1321"/>
      <c r="F458" s="1321"/>
      <c r="G458" s="1321"/>
      <c r="H458" s="1321"/>
      <c r="I458" s="1321"/>
      <c r="J458" s="1321"/>
      <c r="K458" s="1321"/>
      <c r="L458" s="1321"/>
      <c r="M458" s="1321"/>
      <c r="N458" s="1321"/>
      <c r="O458" s="1321"/>
      <c r="P458" s="1321"/>
      <c r="Q458" s="1321"/>
      <c r="R458" s="1321"/>
      <c r="S458" s="1321"/>
      <c r="T458" s="1321"/>
      <c r="U458" s="1321"/>
      <c r="V458" s="1321"/>
      <c r="W458" s="1321"/>
      <c r="X458" s="1321"/>
      <c r="Y458" s="1321"/>
      <c r="Z458" s="1321"/>
      <c r="AA458" s="1321"/>
      <c r="AB458" s="1321"/>
      <c r="AC458" s="1321"/>
      <c r="AD458" s="1321"/>
      <c r="AE458" s="1321"/>
      <c r="AF458" s="1322"/>
      <c r="AG458" s="1420">
        <v>0</v>
      </c>
      <c r="AH458" s="1420"/>
      <c r="AI458" s="1420"/>
      <c r="AJ458" s="1420"/>
      <c r="BB458" s="3"/>
      <c r="BC458" s="3"/>
    </row>
    <row r="459" spans="4:55" ht="12.95" customHeight="1">
      <c r="D459" s="1497" t="s">
        <v>1037</v>
      </c>
      <c r="E459" s="1498"/>
      <c r="F459" s="1498"/>
      <c r="G459" s="1498"/>
      <c r="H459" s="1498"/>
      <c r="I459" s="1498"/>
      <c r="J459" s="1498"/>
      <c r="K459" s="1498"/>
      <c r="L459" s="1498"/>
      <c r="M459" s="1498"/>
      <c r="N459" s="1498"/>
      <c r="O459" s="1498"/>
      <c r="P459" s="1498"/>
      <c r="Q459" s="1498"/>
      <c r="R459" s="1498"/>
      <c r="S459" s="1498"/>
      <c r="T459" s="1498"/>
      <c r="U459" s="1498"/>
      <c r="V459" s="1498"/>
      <c r="W459" s="1498"/>
      <c r="X459" s="1498"/>
      <c r="Y459" s="1498"/>
      <c r="Z459" s="1498"/>
      <c r="AA459" s="1498"/>
      <c r="AB459" s="1498"/>
      <c r="AC459" s="1498"/>
      <c r="AD459" s="1498"/>
      <c r="AE459" s="1498"/>
      <c r="AF459" s="1499"/>
      <c r="AG459" s="1349">
        <f>AG451+AG455+AG457+AG458</f>
        <v>271478</v>
      </c>
      <c r="AH459" s="1349"/>
      <c r="AI459" s="1349"/>
      <c r="AJ459" s="1349"/>
      <c r="AZ459" s="3"/>
      <c r="BA459" s="3"/>
      <c r="BB459" s="3"/>
      <c r="BC459" s="3"/>
    </row>
    <row r="460" spans="4:55" ht="12.95" customHeight="1">
      <c r="D460" s="1501" t="s">
        <v>1204</v>
      </c>
      <c r="E460" s="1501"/>
      <c r="F460" s="1501"/>
      <c r="G460" s="1501"/>
      <c r="H460" s="1501"/>
      <c r="I460" s="1501"/>
      <c r="J460" s="1501"/>
      <c r="K460" s="1501"/>
      <c r="L460" s="1501"/>
      <c r="M460" s="1501"/>
      <c r="N460" s="1501"/>
      <c r="O460" s="1501"/>
      <c r="P460" s="1501"/>
      <c r="Q460" s="1501"/>
      <c r="R460" s="1501"/>
      <c r="S460" s="1501"/>
      <c r="T460" s="1501"/>
      <c r="U460" s="1501"/>
      <c r="V460" s="1501"/>
      <c r="W460" s="1501"/>
      <c r="X460" s="1501"/>
      <c r="Y460" s="1501"/>
      <c r="Z460" s="1501"/>
      <c r="AA460" s="1501"/>
      <c r="AB460" s="1501"/>
      <c r="AC460" s="1501"/>
      <c r="AD460" s="1501"/>
      <c r="AE460" s="1501"/>
      <c r="AF460" s="1501"/>
      <c r="AG460" s="1501"/>
      <c r="AH460" s="1501"/>
      <c r="AI460" s="1501"/>
      <c r="AJ460" s="1501"/>
      <c r="AZ460" s="3"/>
      <c r="BA460" s="3"/>
      <c r="BB460" s="3"/>
      <c r="BC460" s="3"/>
    </row>
    <row r="461" spans="4:55" ht="12.95" customHeight="1">
      <c r="D461" s="1502"/>
      <c r="E461" s="1502"/>
      <c r="F461" s="1502"/>
      <c r="G461" s="1502"/>
      <c r="H461" s="1502"/>
      <c r="I461" s="1502"/>
      <c r="J461" s="1502"/>
      <c r="K461" s="1502"/>
      <c r="L461" s="1502"/>
      <c r="M461" s="1502"/>
      <c r="N461" s="1502"/>
      <c r="O461" s="1502"/>
      <c r="P461" s="1502"/>
      <c r="Q461" s="1502"/>
      <c r="R461" s="1502"/>
      <c r="S461" s="1502"/>
      <c r="T461" s="1502"/>
      <c r="U461" s="1502"/>
      <c r="V461" s="1502"/>
      <c r="W461" s="1502"/>
      <c r="X461" s="1502"/>
      <c r="Y461" s="1502"/>
      <c r="Z461" s="1502"/>
      <c r="AA461" s="1502"/>
      <c r="AB461" s="1502"/>
      <c r="AC461" s="1502"/>
      <c r="AD461" s="1502"/>
      <c r="AE461" s="1502"/>
      <c r="AF461" s="1502"/>
      <c r="AG461" s="1502"/>
      <c r="AH461" s="1502"/>
      <c r="AI461" s="1502"/>
      <c r="AJ461" s="1502"/>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26">
        <f>IF(AG446=0,"",'Sources and Uses Budget'!B105/Application!AG446)</f>
        <v>489275.3125</v>
      </c>
      <c r="AD463" s="1426"/>
      <c r="AE463" s="1426"/>
      <c r="AF463" s="1426"/>
      <c r="AG463" s="177"/>
      <c r="AH463" s="177"/>
      <c r="AI463" s="177"/>
      <c r="AJ463" s="183"/>
      <c r="AZ463" s="3"/>
      <c r="BA463" s="3" t="str">
        <f>AG583</f>
        <v>Yes</v>
      </c>
      <c r="BB463" s="3"/>
      <c r="BC463" s="3"/>
    </row>
    <row r="464" spans="4:55" ht="12.95"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26">
        <f>IF(AG446=0,"",'Sources and Uses Budget'!C105/Application!AG446)</f>
        <v>489275.3125</v>
      </c>
      <c r="AD464" s="1426"/>
      <c r="AE464" s="1426"/>
      <c r="AF464" s="1426"/>
      <c r="AG464" s="177"/>
      <c r="AH464" s="177"/>
      <c r="AI464" s="177"/>
      <c r="AJ464" s="183"/>
      <c r="AZ464" s="3"/>
      <c r="BA464" s="3"/>
      <c r="BB464" s="3"/>
      <c r="BC464" s="3"/>
    </row>
    <row r="465" spans="1:55" ht="12.9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26">
        <f>IF(AG446=0,"",('Sources and Uses Budget'!$S$107+'Sources and Uses Budget'!$T$107)/Application!AG446)</f>
        <v>434996.55227960297</v>
      </c>
      <c r="AD465" s="1426"/>
      <c r="AE465" s="1426"/>
      <c r="AF465" s="1426"/>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611</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32" t="s">
        <v>2052</v>
      </c>
      <c r="E473" s="1351"/>
      <c r="F473" s="1351"/>
      <c r="G473" s="1351"/>
      <c r="H473" s="1351"/>
      <c r="I473" s="1351"/>
      <c r="J473" s="1351"/>
      <c r="K473" s="1351"/>
      <c r="L473" s="1351"/>
      <c r="M473" s="1351"/>
      <c r="N473" s="1351"/>
      <c r="O473" s="1351"/>
      <c r="P473" s="1351"/>
      <c r="Q473" s="1351"/>
      <c r="R473" s="1351"/>
      <c r="S473" s="1351"/>
      <c r="T473" s="1351"/>
      <c r="U473" s="1351"/>
      <c r="V473" s="1352"/>
      <c r="W473" s="1323">
        <v>0</v>
      </c>
      <c r="X473" s="1324"/>
      <c r="Y473" s="132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50" t="s">
        <v>691</v>
      </c>
      <c r="E474" s="1351"/>
      <c r="F474" s="1351"/>
      <c r="G474" s="1351"/>
      <c r="H474" s="1351"/>
      <c r="I474" s="1351"/>
      <c r="J474" s="1351"/>
      <c r="K474" s="1351"/>
      <c r="L474" s="1351"/>
      <c r="M474" s="1351"/>
      <c r="N474" s="1351"/>
      <c r="O474" s="1351"/>
      <c r="P474" s="1351"/>
      <c r="Q474" s="1351"/>
      <c r="R474" s="1351"/>
      <c r="S474" s="1351"/>
      <c r="T474" s="1351"/>
      <c r="U474" s="1351"/>
      <c r="V474" s="1352"/>
      <c r="W474" s="1323">
        <v>0</v>
      </c>
      <c r="X474" s="1324"/>
      <c r="Y474" s="132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50" t="s">
        <v>692</v>
      </c>
      <c r="E475" s="1351"/>
      <c r="F475" s="1351"/>
      <c r="G475" s="1351"/>
      <c r="H475" s="1351"/>
      <c r="I475" s="1351"/>
      <c r="J475" s="1351"/>
      <c r="K475" s="1351"/>
      <c r="L475" s="1351"/>
      <c r="M475" s="1351"/>
      <c r="N475" s="1351"/>
      <c r="O475" s="1351"/>
      <c r="P475" s="1351"/>
      <c r="Q475" s="1351"/>
      <c r="R475" s="1351"/>
      <c r="S475" s="1351"/>
      <c r="T475" s="1351"/>
      <c r="U475" s="1351"/>
      <c r="V475" s="1352"/>
      <c r="W475" s="1323">
        <v>0</v>
      </c>
      <c r="X475" s="1324"/>
      <c r="Y475" s="1325"/>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50" t="s">
        <v>693</v>
      </c>
      <c r="E476" s="1351"/>
      <c r="F476" s="1351"/>
      <c r="G476" s="1351"/>
      <c r="H476" s="1351"/>
      <c r="I476" s="1351"/>
      <c r="J476" s="1351"/>
      <c r="K476" s="1351"/>
      <c r="L476" s="1351"/>
      <c r="M476" s="1351"/>
      <c r="N476" s="1351"/>
      <c r="O476" s="1351"/>
      <c r="P476" s="1351"/>
      <c r="Q476" s="1351"/>
      <c r="R476" s="1351"/>
      <c r="S476" s="1351"/>
      <c r="T476" s="1351"/>
      <c r="U476" s="1351"/>
      <c r="V476" s="1352"/>
      <c r="W476" s="1323">
        <v>0</v>
      </c>
      <c r="X476" s="1324"/>
      <c r="Y476" s="1325"/>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50" t="s">
        <v>879</v>
      </c>
      <c r="E477" s="1351"/>
      <c r="F477" s="1351"/>
      <c r="G477" s="1351"/>
      <c r="H477" s="1351"/>
      <c r="I477" s="1351"/>
      <c r="J477" s="1351"/>
      <c r="K477" s="1351"/>
      <c r="L477" s="1351"/>
      <c r="M477" s="1351"/>
      <c r="N477" s="1351"/>
      <c r="O477" s="1351"/>
      <c r="P477" s="1351"/>
      <c r="Q477" s="1351"/>
      <c r="R477" s="1351"/>
      <c r="S477" s="1351"/>
      <c r="T477" s="1351"/>
      <c r="U477" s="1351"/>
      <c r="V477" s="1352"/>
      <c r="W477" s="1323">
        <v>0</v>
      </c>
      <c r="X477" s="1324"/>
      <c r="Y477" s="1325"/>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350" t="s">
        <v>694</v>
      </c>
      <c r="E478" s="1351"/>
      <c r="F478" s="1351"/>
      <c r="G478" s="1351"/>
      <c r="H478" s="1351"/>
      <c r="I478" s="1351"/>
      <c r="J478" s="1351"/>
      <c r="K478" s="1351"/>
      <c r="L478" s="1351"/>
      <c r="M478" s="1351"/>
      <c r="N478" s="1351"/>
      <c r="O478" s="1351"/>
      <c r="P478" s="1351"/>
      <c r="Q478" s="1351"/>
      <c r="R478" s="1351"/>
      <c r="S478" s="1351"/>
      <c r="T478" s="1351"/>
      <c r="U478" s="1351"/>
      <c r="V478" s="1352"/>
      <c r="W478" s="1323">
        <v>0</v>
      </c>
      <c r="X478" s="1324"/>
      <c r="Y478" s="1325"/>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350" t="s">
        <v>1010</v>
      </c>
      <c r="E479" s="1351"/>
      <c r="F479" s="1351"/>
      <c r="G479" s="1351"/>
      <c r="H479" s="1351"/>
      <c r="I479" s="1351"/>
      <c r="J479" s="1351"/>
      <c r="K479" s="1351"/>
      <c r="L479" s="1351"/>
      <c r="M479" s="1351"/>
      <c r="N479" s="1351"/>
      <c r="O479" s="1351"/>
      <c r="P479" s="1351"/>
      <c r="Q479" s="1351"/>
      <c r="R479" s="1351"/>
      <c r="S479" s="1351"/>
      <c r="T479" s="1351"/>
      <c r="U479" s="1351"/>
      <c r="V479" s="1352"/>
      <c r="W479" s="1323">
        <v>0</v>
      </c>
      <c r="X479" s="1324"/>
      <c r="Y479" s="1325"/>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32" t="s">
        <v>2142</v>
      </c>
      <c r="E480" s="1333"/>
      <c r="F480" s="1333"/>
      <c r="G480" s="1333"/>
      <c r="H480" s="1333"/>
      <c r="I480" s="1333"/>
      <c r="J480" s="1333"/>
      <c r="K480" s="1333"/>
      <c r="L480" s="1333"/>
      <c r="M480" s="1333"/>
      <c r="N480" s="1333"/>
      <c r="O480" s="1333"/>
      <c r="P480" s="1333"/>
      <c r="Q480" s="1333"/>
      <c r="R480" s="1333"/>
      <c r="S480" s="1333"/>
      <c r="T480" s="1333"/>
      <c r="U480" s="1333"/>
      <c r="V480" s="1334"/>
      <c r="W480" s="1323">
        <v>0</v>
      </c>
      <c r="X480" s="1324"/>
      <c r="Y480" s="1325"/>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32" t="s">
        <v>1641</v>
      </c>
      <c r="E481" s="1351"/>
      <c r="F481" s="1351"/>
      <c r="G481" s="1351"/>
      <c r="H481" s="1351"/>
      <c r="I481" s="1351"/>
      <c r="J481" s="1351"/>
      <c r="K481" s="1351"/>
      <c r="L481" s="1351"/>
      <c r="M481" s="1351"/>
      <c r="N481" s="1351"/>
      <c r="O481" s="1351"/>
      <c r="P481" s="1351"/>
      <c r="Q481" s="1351"/>
      <c r="R481" s="1351"/>
      <c r="S481" s="1351"/>
      <c r="T481" s="1351"/>
      <c r="U481" s="1351"/>
      <c r="V481" s="1352"/>
      <c r="W481" s="1323">
        <v>36</v>
      </c>
      <c r="X481" s="1324"/>
      <c r="Y481" s="1325"/>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764" t="s">
        <v>2768</v>
      </c>
      <c r="H482" s="1765"/>
      <c r="I482" s="1765"/>
      <c r="J482" s="1765"/>
      <c r="K482" s="1765"/>
      <c r="L482" s="1765"/>
      <c r="M482" s="1765"/>
      <c r="N482" s="1765"/>
      <c r="O482" s="1765"/>
      <c r="P482" s="1765"/>
      <c r="Q482" s="1765"/>
      <c r="R482" s="1765"/>
      <c r="S482" s="1765"/>
      <c r="T482" s="1765"/>
      <c r="U482" s="1765"/>
      <c r="V482" s="1766"/>
      <c r="W482" s="1323">
        <v>24</v>
      </c>
      <c r="X482" s="1324"/>
      <c r="Y482" s="1325"/>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456" t="s">
        <v>808</v>
      </c>
      <c r="B488" s="1456"/>
      <c r="C488" s="1456"/>
      <c r="D488" s="1456"/>
      <c r="E488" s="1456"/>
      <c r="F488" s="1456"/>
      <c r="G488" s="1456"/>
      <c r="H488" s="1456"/>
      <c r="I488" s="1456"/>
      <c r="J488" s="1456"/>
      <c r="K488" s="1456"/>
      <c r="L488" s="1456"/>
      <c r="M488" s="1456"/>
      <c r="N488" s="1456"/>
      <c r="O488" s="1456"/>
      <c r="P488" s="1456"/>
      <c r="Q488" s="1456"/>
      <c r="R488" s="1456"/>
      <c r="S488" s="1456"/>
      <c r="T488" s="1456"/>
      <c r="U488" s="1456"/>
      <c r="V488" s="1456"/>
      <c r="W488" s="1456"/>
      <c r="X488" s="1456"/>
      <c r="Y488" s="1456"/>
      <c r="Z488" s="1456"/>
      <c r="AA488" s="1456"/>
      <c r="AB488" s="1456"/>
      <c r="AC488" s="1456"/>
      <c r="AD488" s="1456"/>
      <c r="AE488" s="1456"/>
      <c r="AF488" s="1456"/>
      <c r="AG488" s="1456"/>
      <c r="AH488" s="1456"/>
      <c r="AI488" s="1456"/>
      <c r="AJ488" s="1456"/>
      <c r="AK488" s="1456"/>
      <c r="AL488" s="1456"/>
      <c r="AM488" s="1456"/>
      <c r="AN488" s="1456"/>
      <c r="AO488" s="1456"/>
      <c r="AP488" s="1456"/>
      <c r="AQ488" s="1456"/>
      <c r="AR488" s="1456"/>
      <c r="AS488" s="1456"/>
      <c r="AT488" s="1456"/>
      <c r="AU488" s="95"/>
      <c r="AV488" s="95"/>
      <c r="AW488" s="95"/>
      <c r="AX488" s="95"/>
      <c r="AY488" s="95"/>
      <c r="AZ488" s="3"/>
      <c r="BB488" s="3"/>
      <c r="BC488" s="3"/>
    </row>
    <row r="489" spans="1:55" ht="12.95" customHeight="1">
      <c r="A489" s="1456"/>
      <c r="B489" s="1456"/>
      <c r="C489" s="1456"/>
      <c r="D489" s="1456"/>
      <c r="E489" s="1456"/>
      <c r="F489" s="1456"/>
      <c r="G489" s="1456"/>
      <c r="H489" s="1456"/>
      <c r="I489" s="1456"/>
      <c r="J489" s="1456"/>
      <c r="K489" s="1456"/>
      <c r="L489" s="1456"/>
      <c r="M489" s="1456"/>
      <c r="N489" s="1456"/>
      <c r="O489" s="1456"/>
      <c r="P489" s="1456"/>
      <c r="Q489" s="1456"/>
      <c r="R489" s="1456"/>
      <c r="S489" s="1456"/>
      <c r="T489" s="1456"/>
      <c r="U489" s="1456"/>
      <c r="V489" s="1456"/>
      <c r="W489" s="1456"/>
      <c r="X489" s="1456"/>
      <c r="Y489" s="1456"/>
      <c r="Z489" s="1456"/>
      <c r="AA489" s="1456"/>
      <c r="AB489" s="1456"/>
      <c r="AC489" s="1456"/>
      <c r="AD489" s="1456"/>
      <c r="AE489" s="1456"/>
      <c r="AF489" s="1456"/>
      <c r="AG489" s="1456"/>
      <c r="AH489" s="1456"/>
      <c r="AI489" s="1456"/>
      <c r="AJ489" s="1456"/>
      <c r="AK489" s="1456"/>
      <c r="AL489" s="1456"/>
      <c r="AM489" s="1456"/>
      <c r="AN489" s="1456"/>
      <c r="AO489" s="1456"/>
      <c r="AP489" s="1456"/>
      <c r="AQ489" s="1456"/>
      <c r="AR489" s="1456"/>
      <c r="AS489" s="1456"/>
      <c r="AT489" s="1456"/>
      <c r="AZ489" s="3"/>
      <c r="BB489" s="3"/>
      <c r="BC489" s="3"/>
    </row>
    <row r="490" spans="1:55" ht="12.95" customHeight="1">
      <c r="AZ490" s="3"/>
      <c r="BB490" s="3"/>
      <c r="BC490" s="3"/>
    </row>
    <row r="491" spans="1:55" ht="12.95" customHeight="1">
      <c r="A491" s="2" t="s">
        <v>318</v>
      </c>
      <c r="C491" s="2" t="s">
        <v>806</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26" t="s">
        <v>391</v>
      </c>
      <c r="R493" s="1327"/>
      <c r="S493" s="1327"/>
      <c r="T493" s="1327"/>
      <c r="U493" s="1327"/>
      <c r="V493" s="1327"/>
      <c r="W493" s="1327"/>
      <c r="X493" s="1327"/>
      <c r="Y493" s="1327"/>
      <c r="Z493" s="1327"/>
      <c r="AA493" s="1327"/>
      <c r="AB493" s="1327"/>
      <c r="AC493" s="1327"/>
      <c r="AD493" s="1327"/>
      <c r="AE493" s="1327"/>
      <c r="AF493" s="1327"/>
      <c r="AG493" s="1327"/>
      <c r="AH493" s="1327"/>
      <c r="AI493" s="1327"/>
      <c r="AJ493" s="1327"/>
      <c r="AK493" s="1328"/>
      <c r="AZ493" s="3"/>
      <c r="BB493" s="3"/>
      <c r="BC493" s="3"/>
    </row>
    <row r="494" spans="1:55" ht="12.95" customHeight="1">
      <c r="B494" s="45" t="s">
        <v>392</v>
      </c>
      <c r="C494" s="5"/>
      <c r="D494" s="5"/>
      <c r="E494" s="5"/>
      <c r="F494" s="5"/>
      <c r="G494" s="5"/>
      <c r="H494" s="5"/>
      <c r="I494" s="5"/>
      <c r="J494" s="5"/>
      <c r="K494" s="5"/>
      <c r="L494" s="5"/>
      <c r="M494" s="5"/>
      <c r="N494" s="5"/>
      <c r="O494" s="5"/>
      <c r="P494" s="5"/>
      <c r="Q494" s="1386" t="s">
        <v>2750</v>
      </c>
      <c r="R494" s="1335"/>
      <c r="S494" s="1335"/>
      <c r="T494" s="1335"/>
      <c r="U494" s="1335"/>
      <c r="V494" s="1335"/>
      <c r="W494" s="1335"/>
      <c r="X494" s="1335"/>
      <c r="Y494" s="1335"/>
      <c r="Z494" s="1335"/>
      <c r="AA494" s="1335"/>
      <c r="AB494" s="1335"/>
      <c r="AC494" s="1335"/>
      <c r="AD494" s="1335"/>
      <c r="AE494" s="1335"/>
      <c r="AF494" s="1335"/>
      <c r="AG494" s="1335"/>
      <c r="AH494" s="1335"/>
      <c r="AI494" s="1335"/>
      <c r="AJ494" s="1335"/>
      <c r="AK494" s="1387"/>
      <c r="AZ494" s="3"/>
      <c r="BB494" s="3"/>
      <c r="BC494" s="3"/>
    </row>
    <row r="495" spans="1:55" ht="12.95" customHeight="1">
      <c r="B495" s="45" t="s">
        <v>393</v>
      </c>
      <c r="C495" s="5"/>
      <c r="D495" s="5"/>
      <c r="E495" s="5"/>
      <c r="F495" s="5"/>
      <c r="G495" s="5"/>
      <c r="H495" s="5"/>
      <c r="I495" s="5"/>
      <c r="J495" s="5"/>
      <c r="K495" s="5"/>
      <c r="L495" s="5"/>
      <c r="M495" s="5"/>
      <c r="N495" s="5"/>
      <c r="O495" s="5"/>
      <c r="P495" s="5"/>
      <c r="Q495" s="1386" t="s">
        <v>2751</v>
      </c>
      <c r="R495" s="1335"/>
      <c r="S495" s="1335"/>
      <c r="T495" s="1335"/>
      <c r="U495" s="1335"/>
      <c r="V495" s="1335"/>
      <c r="W495" s="1335"/>
      <c r="X495" s="1335"/>
      <c r="Y495" s="1335"/>
      <c r="Z495" s="1335"/>
      <c r="AA495" s="1335"/>
      <c r="AB495" s="1335"/>
      <c r="AC495" s="1335"/>
      <c r="AD495" s="1335"/>
      <c r="AE495" s="1335"/>
      <c r="AF495" s="1335"/>
      <c r="AG495" s="1335"/>
      <c r="AH495" s="1335"/>
      <c r="AI495" s="1335"/>
      <c r="AJ495" s="1335"/>
      <c r="AK495" s="1387"/>
      <c r="AZ495" s="3"/>
      <c r="BB495" s="3"/>
      <c r="BC495" s="3"/>
    </row>
    <row r="496" spans="1:55" ht="12.95" customHeight="1">
      <c r="B496" s="45" t="s">
        <v>394</v>
      </c>
      <c r="C496" s="5"/>
      <c r="D496" s="5"/>
      <c r="E496" s="5"/>
      <c r="F496" s="5"/>
      <c r="G496" s="5"/>
      <c r="H496" s="5"/>
      <c r="I496" s="5"/>
      <c r="J496" s="5"/>
      <c r="K496" s="5"/>
      <c r="L496" s="5"/>
      <c r="M496" s="5"/>
      <c r="N496" s="5"/>
      <c r="O496" s="5"/>
      <c r="P496" s="5"/>
      <c r="Q496" s="1386" t="s">
        <v>2752</v>
      </c>
      <c r="R496" s="1335"/>
      <c r="S496" s="1335"/>
      <c r="T496" s="1335"/>
      <c r="U496" s="1335"/>
      <c r="V496" s="1335"/>
      <c r="W496" s="1335"/>
      <c r="X496" s="1335"/>
      <c r="Y496" s="1335"/>
      <c r="Z496" s="1335"/>
      <c r="AA496" s="1335"/>
      <c r="AB496" s="1335"/>
      <c r="AC496" s="1335"/>
      <c r="AD496" s="1335"/>
      <c r="AE496" s="1335"/>
      <c r="AF496" s="1335"/>
      <c r="AG496" s="1335"/>
      <c r="AH496" s="1335"/>
      <c r="AI496" s="1335"/>
      <c r="AJ496" s="1335"/>
      <c r="AK496" s="1387"/>
      <c r="AZ496" s="3"/>
      <c r="BA496" s="3"/>
      <c r="BB496" s="3"/>
      <c r="BC496" s="3"/>
    </row>
    <row r="497" spans="1:66" ht="12.95" customHeight="1">
      <c r="B497" s="1376" t="s">
        <v>395</v>
      </c>
      <c r="C497" s="1377"/>
      <c r="D497" s="1377"/>
      <c r="E497" s="1377"/>
      <c r="F497" s="1377"/>
      <c r="G497" s="1377"/>
      <c r="H497" s="1377"/>
      <c r="I497" s="1377"/>
      <c r="J497" s="1377"/>
      <c r="K497" s="1377"/>
      <c r="L497" s="1377"/>
      <c r="M497" s="1377"/>
      <c r="N497" s="1377"/>
      <c r="O497" s="1377"/>
      <c r="P497" s="1378"/>
      <c r="Q497" s="1382" t="s">
        <v>667</v>
      </c>
      <c r="R497" s="1383"/>
      <c r="S497" s="1503"/>
      <c r="T497" s="1504"/>
      <c r="U497" s="1504"/>
      <c r="V497" s="1504"/>
      <c r="W497" s="1504"/>
      <c r="X497" s="1504"/>
      <c r="Y497" s="1504"/>
      <c r="Z497" s="1504"/>
      <c r="AA497" s="1504"/>
      <c r="AB497" s="1504"/>
      <c r="AC497" s="1504"/>
      <c r="AD497" s="1504"/>
      <c r="AE497" s="1504"/>
      <c r="AF497" s="1504"/>
      <c r="AG497" s="1504"/>
      <c r="AH497" s="1504"/>
      <c r="AI497" s="1504"/>
      <c r="AJ497" s="1504"/>
      <c r="AK497" s="1505"/>
      <c r="AZ497" s="3"/>
      <c r="BA497" s="3"/>
      <c r="BB497" s="3"/>
      <c r="BC497" s="3"/>
    </row>
    <row r="498" spans="1:66" ht="12.95" customHeight="1">
      <c r="B498" s="1379"/>
      <c r="C498" s="1380"/>
      <c r="D498" s="1380"/>
      <c r="E498" s="1380"/>
      <c r="F498" s="1380"/>
      <c r="G498" s="1380"/>
      <c r="H498" s="1380"/>
      <c r="I498" s="1380"/>
      <c r="J498" s="1380"/>
      <c r="K498" s="1380"/>
      <c r="L498" s="1380"/>
      <c r="M498" s="1380"/>
      <c r="N498" s="1380"/>
      <c r="O498" s="1380"/>
      <c r="P498" s="1381"/>
      <c r="Q498" s="1384"/>
      <c r="R498" s="1385"/>
      <c r="S498" s="1506"/>
      <c r="T498" s="1449"/>
      <c r="U498" s="1449"/>
      <c r="V498" s="1449"/>
      <c r="W498" s="1449"/>
      <c r="X498" s="1449"/>
      <c r="Y498" s="1449"/>
      <c r="Z498" s="1449"/>
      <c r="AA498" s="1449"/>
      <c r="AB498" s="1449"/>
      <c r="AC498" s="1449"/>
      <c r="AD498" s="1449"/>
      <c r="AE498" s="1449"/>
      <c r="AF498" s="1449"/>
      <c r="AG498" s="1449"/>
      <c r="AH498" s="1449"/>
      <c r="AI498" s="1449"/>
      <c r="AJ498" s="1449"/>
      <c r="AK498" s="1507"/>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393" t="s">
        <v>667</v>
      </c>
      <c r="R499" s="1394"/>
      <c r="S499" s="1394"/>
      <c r="T499" s="1394"/>
      <c r="U499" s="1394"/>
      <c r="V499" s="1394"/>
      <c r="W499" s="1394"/>
      <c r="X499" s="1394"/>
      <c r="Y499" s="1394"/>
      <c r="Z499" s="1394"/>
      <c r="AA499" s="1394"/>
      <c r="AB499" s="1394"/>
      <c r="AC499" s="1394"/>
      <c r="AD499" s="1394"/>
      <c r="AE499" s="1394"/>
      <c r="AF499" s="1394"/>
      <c r="AG499" s="1394"/>
      <c r="AH499" s="1394"/>
      <c r="AI499" s="1394"/>
      <c r="AJ499" s="1394"/>
      <c r="AK499" s="1395"/>
      <c r="AZ499" s="3"/>
      <c r="BA499" s="3"/>
      <c r="BB499" s="3"/>
      <c r="BC499" s="3"/>
    </row>
    <row r="500" spans="1:66" ht="12.95" customHeight="1">
      <c r="B500" s="45" t="s">
        <v>396</v>
      </c>
      <c r="C500" s="5"/>
      <c r="D500" s="5"/>
      <c r="E500" s="5"/>
      <c r="F500" s="5"/>
      <c r="G500" s="5"/>
      <c r="H500" s="5"/>
      <c r="I500" s="5"/>
      <c r="J500" s="5"/>
      <c r="K500" s="5"/>
      <c r="L500" s="5"/>
      <c r="M500" s="5"/>
      <c r="N500" s="5"/>
      <c r="O500" s="5"/>
      <c r="P500" s="5"/>
      <c r="Q500" s="1409" t="s">
        <v>2733</v>
      </c>
      <c r="R500" s="1335"/>
      <c r="S500" s="1335"/>
      <c r="T500" s="1335"/>
      <c r="U500" s="1335"/>
      <c r="V500" s="1335"/>
      <c r="W500" s="1335"/>
      <c r="X500" s="1335"/>
      <c r="Y500" s="1335"/>
      <c r="Z500" s="1335"/>
      <c r="AA500" s="1335"/>
      <c r="AB500" s="1335"/>
      <c r="AC500" s="1335"/>
      <c r="AD500" s="1335"/>
      <c r="AE500" s="1335"/>
      <c r="AF500" s="1335"/>
      <c r="AG500" s="1335"/>
      <c r="AH500" s="1335"/>
      <c r="AI500" s="1335"/>
      <c r="AJ500" s="1335"/>
      <c r="AK500" s="1387"/>
      <c r="AZ500" s="3"/>
      <c r="BA500" s="3"/>
      <c r="BB500" s="3"/>
      <c r="BC500" s="3"/>
    </row>
    <row r="501" spans="1:66" ht="12.95" customHeight="1">
      <c r="B501" s="45" t="s">
        <v>397</v>
      </c>
      <c r="C501" s="5"/>
      <c r="D501" s="5"/>
      <c r="E501" s="5"/>
      <c r="F501" s="5"/>
      <c r="G501" s="5"/>
      <c r="H501" s="5"/>
      <c r="I501" s="5"/>
      <c r="J501" s="5"/>
      <c r="K501" s="5"/>
      <c r="L501" s="5"/>
      <c r="M501" s="5"/>
      <c r="N501" s="5"/>
      <c r="O501" s="5"/>
      <c r="P501" s="5"/>
      <c r="Q501" s="1409">
        <v>1.58</v>
      </c>
      <c r="R501" s="1335"/>
      <c r="S501" s="1335"/>
      <c r="T501" s="1335"/>
      <c r="U501" s="1335"/>
      <c r="V501" s="1335"/>
      <c r="W501" s="1335"/>
      <c r="X501" s="1335"/>
      <c r="Y501" s="1335"/>
      <c r="Z501" s="1335"/>
      <c r="AA501" s="1335"/>
      <c r="AB501" s="1335"/>
      <c r="AC501" s="1335"/>
      <c r="AD501" s="1335"/>
      <c r="AE501" s="1335"/>
      <c r="AF501" s="1335"/>
      <c r="AG501" s="1335"/>
      <c r="AH501" s="1335"/>
      <c r="AI501" s="1335"/>
      <c r="AJ501" s="1335"/>
      <c r="AK501" s="1387"/>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409">
        <v>409</v>
      </c>
      <c r="R502" s="1335"/>
      <c r="S502" s="1335"/>
      <c r="T502" s="1335"/>
      <c r="U502" s="1335"/>
      <c r="V502" s="1335"/>
      <c r="W502" s="1335"/>
      <c r="X502" s="1335"/>
      <c r="Y502" s="1335"/>
      <c r="Z502" s="1335"/>
      <c r="AA502" s="1335"/>
      <c r="AB502" s="1335"/>
      <c r="AC502" s="1335"/>
      <c r="AD502" s="1335"/>
      <c r="AE502" s="1335"/>
      <c r="AF502" s="1335"/>
      <c r="AG502" s="1335"/>
      <c r="AH502" s="1335"/>
      <c r="AI502" s="1335"/>
      <c r="AJ502" s="1335"/>
      <c r="AK502" s="1387"/>
      <c r="AZ502" s="3"/>
      <c r="BA502" s="3"/>
      <c r="BB502" s="3"/>
      <c r="BC502" s="3"/>
    </row>
    <row r="503" spans="1:66" ht="12.95" customHeight="1">
      <c r="B503" s="121" t="s">
        <v>1656</v>
      </c>
      <c r="C503" s="5"/>
      <c r="D503" s="5"/>
      <c r="E503" s="5"/>
      <c r="F503" s="5"/>
      <c r="G503" s="5"/>
      <c r="H503" s="5"/>
      <c r="I503" s="5"/>
      <c r="J503" s="5"/>
      <c r="K503" s="5"/>
      <c r="L503" s="5"/>
      <c r="M503" s="1396">
        <v>223</v>
      </c>
      <c r="N503" s="1397"/>
      <c r="O503" s="1397"/>
      <c r="P503" s="1398"/>
      <c r="Q503" s="121" t="s">
        <v>1657</v>
      </c>
      <c r="R503" s="5"/>
      <c r="S503" s="5"/>
      <c r="T503" s="5"/>
      <c r="U503" s="5"/>
      <c r="V503" s="5"/>
      <c r="W503" s="5"/>
      <c r="X503" s="5"/>
      <c r="Y503" s="5"/>
      <c r="Z503" s="5"/>
      <c r="AA503" s="5"/>
      <c r="AB503" s="5"/>
      <c r="AC503" s="5"/>
      <c r="AD503" s="5"/>
      <c r="AE503" s="5"/>
      <c r="AF503" s="5"/>
      <c r="AG503" s="5"/>
      <c r="AH503" s="1396">
        <v>186</v>
      </c>
      <c r="AI503" s="1397"/>
      <c r="AJ503" s="1397"/>
      <c r="AK503" s="1398"/>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574</v>
      </c>
      <c r="C505" s="2" t="s">
        <v>398</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26" t="s">
        <v>399</v>
      </c>
      <c r="AD507" s="1327"/>
      <c r="AE507" s="1327"/>
      <c r="AF507" s="1327"/>
      <c r="AG507" s="1327"/>
      <c r="AH507" s="1327"/>
      <c r="AI507" s="1327"/>
      <c r="AJ507" s="1327"/>
      <c r="AK507" s="1328"/>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26" t="s">
        <v>400</v>
      </c>
      <c r="AD508" s="1327"/>
      <c r="AE508" s="1327"/>
      <c r="AF508" s="1327"/>
      <c r="AG508" s="50" t="s">
        <v>401</v>
      </c>
      <c r="AH508" s="1327" t="s">
        <v>402</v>
      </c>
      <c r="AI508" s="1327"/>
      <c r="AJ508" s="1327"/>
      <c r="AK508" s="1328"/>
      <c r="AZ508" s="3"/>
      <c r="BA508" s="3"/>
      <c r="BB508" s="3"/>
      <c r="BC508" s="3"/>
      <c r="BD508" s="3"/>
      <c r="BE508" s="3"/>
      <c r="BF508" s="3"/>
      <c r="BG508" s="3"/>
      <c r="BH508" s="3"/>
      <c r="BI508" s="3"/>
      <c r="BJ508" s="3"/>
      <c r="BK508" s="3"/>
      <c r="BL508" s="3"/>
      <c r="BM508" s="3"/>
      <c r="BN508" s="3"/>
    </row>
    <row r="509" spans="1:66" ht="12.95" customHeight="1">
      <c r="B509" s="1337" t="s">
        <v>403</v>
      </c>
      <c r="C509" s="1338"/>
      <c r="D509" s="1338"/>
      <c r="E509" s="1338"/>
      <c r="F509" s="1338"/>
      <c r="G509" s="1338"/>
      <c r="H509" s="1339"/>
      <c r="I509" s="42" t="s">
        <v>404</v>
      </c>
      <c r="J509" s="42"/>
      <c r="K509" s="42"/>
      <c r="L509" s="42"/>
      <c r="M509" s="42"/>
      <c r="N509" s="42"/>
      <c r="O509" s="42"/>
      <c r="P509" s="42"/>
      <c r="Q509" s="42"/>
      <c r="R509" s="42"/>
      <c r="S509" s="42"/>
      <c r="T509" s="42"/>
      <c r="U509" s="42"/>
      <c r="V509" s="42"/>
      <c r="W509" s="42"/>
      <c r="AC509" s="1315" t="s">
        <v>589</v>
      </c>
      <c r="AD509" s="1316"/>
      <c r="AE509" s="1316"/>
      <c r="AF509" s="1316"/>
      <c r="AG509" s="13" t="s">
        <v>401</v>
      </c>
      <c r="AH509" s="1318">
        <v>0</v>
      </c>
      <c r="AI509" s="1318"/>
      <c r="AJ509" s="1318"/>
      <c r="AK509" s="1319"/>
      <c r="AZ509" s="3"/>
      <c r="BA509" s="3"/>
      <c r="BB509" s="3"/>
      <c r="BC509" s="3"/>
      <c r="BD509" s="3"/>
      <c r="BE509" s="3"/>
      <c r="BF509" s="3"/>
      <c r="BG509" s="3"/>
      <c r="BH509" s="3"/>
      <c r="BI509" s="3"/>
      <c r="BJ509" s="3"/>
      <c r="BK509" s="3"/>
      <c r="BL509" s="3"/>
      <c r="BM509" s="3"/>
      <c r="BN509" s="3"/>
    </row>
    <row r="510" spans="1:66" ht="12.95" customHeight="1">
      <c r="B510" s="1340"/>
      <c r="C510" s="1341"/>
      <c r="D510" s="1341"/>
      <c r="E510" s="1341"/>
      <c r="F510" s="1341"/>
      <c r="G510" s="1341"/>
      <c r="H510" s="1342"/>
      <c r="I510" s="48" t="s">
        <v>405</v>
      </c>
      <c r="J510" s="48"/>
      <c r="K510" s="48"/>
      <c r="L510" s="48"/>
      <c r="M510" s="48"/>
      <c r="N510" s="48"/>
      <c r="O510" s="48"/>
      <c r="P510" s="48"/>
      <c r="Q510" s="48"/>
      <c r="R510" s="48"/>
      <c r="S510" s="48"/>
      <c r="T510" s="48"/>
      <c r="U510" s="48"/>
      <c r="V510" s="48"/>
      <c r="W510" s="48"/>
      <c r="X510" s="48"/>
      <c r="Y510" s="48"/>
      <c r="Z510" s="48"/>
      <c r="AA510" s="48"/>
      <c r="AB510" s="48"/>
      <c r="AC510" s="1315">
        <v>2</v>
      </c>
      <c r="AD510" s="1316"/>
      <c r="AE510" s="1316"/>
      <c r="AF510" s="1316"/>
      <c r="AG510" s="38" t="s">
        <v>401</v>
      </c>
      <c r="AH510" s="1318">
        <v>27</v>
      </c>
      <c r="AI510" s="1318"/>
      <c r="AJ510" s="1318"/>
      <c r="AK510" s="1319"/>
      <c r="AZ510" s="3"/>
      <c r="BA510" s="3"/>
      <c r="BB510" s="3"/>
      <c r="BC510" s="3"/>
      <c r="BD510" s="3"/>
      <c r="BE510" s="3"/>
      <c r="BF510" s="3"/>
      <c r="BG510" s="3"/>
      <c r="BH510" s="3"/>
      <c r="BI510" s="3"/>
      <c r="BJ510" s="3"/>
      <c r="BK510" s="3"/>
      <c r="BL510" s="3"/>
      <c r="BM510" s="3"/>
      <c r="BN510" s="3"/>
    </row>
    <row r="511" spans="1:66" ht="12.95" customHeight="1">
      <c r="B511" s="1337" t="s">
        <v>406</v>
      </c>
      <c r="C511" s="1338"/>
      <c r="D511" s="1338"/>
      <c r="E511" s="1338"/>
      <c r="F511" s="1338"/>
      <c r="G511" s="1338"/>
      <c r="H511" s="1339"/>
      <c r="I511" s="42" t="s">
        <v>407</v>
      </c>
      <c r="J511" s="42"/>
      <c r="K511" s="42"/>
      <c r="L511" s="42"/>
      <c r="M511" s="42"/>
      <c r="N511" s="42"/>
      <c r="O511" s="42"/>
      <c r="P511" s="42"/>
      <c r="Q511" s="42"/>
      <c r="R511" s="42"/>
      <c r="S511" s="42"/>
      <c r="T511" s="42"/>
      <c r="U511" s="42"/>
      <c r="V511" s="42"/>
      <c r="W511" s="42"/>
      <c r="AC511" s="1315" t="s">
        <v>589</v>
      </c>
      <c r="AD511" s="1316"/>
      <c r="AE511" s="1316"/>
      <c r="AF511" s="1316"/>
      <c r="AG511" s="13" t="s">
        <v>401</v>
      </c>
      <c r="AH511" s="1318"/>
      <c r="AI511" s="1318"/>
      <c r="AJ511" s="1318"/>
      <c r="AK511" s="1319"/>
      <c r="AZ511" s="3"/>
      <c r="BA511" s="3"/>
      <c r="BB511" s="3"/>
      <c r="BC511" s="3"/>
      <c r="BD511" s="3"/>
      <c r="BE511" s="3"/>
      <c r="BF511" s="3"/>
      <c r="BG511" s="3"/>
      <c r="BH511" s="3"/>
      <c r="BI511" s="3"/>
      <c r="BJ511" s="3"/>
      <c r="BK511" s="3"/>
      <c r="BL511" s="3"/>
      <c r="BM511" s="3"/>
      <c r="BN511" s="3"/>
    </row>
    <row r="512" spans="1:66" ht="12.95" customHeight="1">
      <c r="B512" s="1340"/>
      <c r="C512" s="1341"/>
      <c r="D512" s="1341"/>
      <c r="E512" s="1341"/>
      <c r="F512" s="1341"/>
      <c r="G512" s="1341"/>
      <c r="H512" s="1342"/>
      <c r="I512" t="s">
        <v>408</v>
      </c>
      <c r="AC512" s="1315" t="s">
        <v>589</v>
      </c>
      <c r="AD512" s="1316"/>
      <c r="AE512" s="1316"/>
      <c r="AF512" s="1316"/>
      <c r="AG512" s="13" t="s">
        <v>401</v>
      </c>
      <c r="AH512" s="1318"/>
      <c r="AI512" s="1318"/>
      <c r="AJ512" s="1318"/>
      <c r="AK512" s="1319"/>
      <c r="AZ512" s="3"/>
      <c r="BA512" s="3"/>
      <c r="BB512" s="3"/>
      <c r="BC512" s="3"/>
      <c r="BD512" s="3"/>
      <c r="BE512" s="3"/>
      <c r="BF512" s="3"/>
      <c r="BG512" s="3"/>
      <c r="BH512" s="3"/>
      <c r="BI512" s="3"/>
      <c r="BJ512" s="3"/>
      <c r="BK512" s="3"/>
      <c r="BL512" s="3"/>
      <c r="BM512" s="3"/>
      <c r="BN512" s="3"/>
    </row>
    <row r="513" spans="2:66" ht="12.95" customHeight="1">
      <c r="B513" s="1340"/>
      <c r="C513" s="1341"/>
      <c r="D513" s="1341"/>
      <c r="E513" s="1341"/>
      <c r="F513" s="1341"/>
      <c r="G513" s="1341"/>
      <c r="H513" s="1342"/>
      <c r="I513" t="s">
        <v>409</v>
      </c>
      <c r="AC513" s="1315" t="s">
        <v>589</v>
      </c>
      <c r="AD513" s="1316"/>
      <c r="AE513" s="1316"/>
      <c r="AF513" s="1316"/>
      <c r="AG513" s="13" t="s">
        <v>401</v>
      </c>
      <c r="AH513" s="1318"/>
      <c r="AI513" s="1318"/>
      <c r="AJ513" s="1318"/>
      <c r="AK513" s="1319"/>
      <c r="AZ513" s="3"/>
      <c r="BA513" s="3"/>
      <c r="BB513" s="3"/>
      <c r="BC513" s="3"/>
      <c r="BD513" s="3"/>
      <c r="BE513" s="3"/>
      <c r="BF513" s="3"/>
      <c r="BG513" s="3"/>
      <c r="BH513" s="3"/>
      <c r="BI513" s="3"/>
      <c r="BJ513" s="3"/>
      <c r="BK513" s="3"/>
      <c r="BL513" s="3"/>
      <c r="BM513" s="3"/>
      <c r="BN513" s="3"/>
    </row>
    <row r="514" spans="2:66" ht="12.95" customHeight="1">
      <c r="B514" s="1340"/>
      <c r="C514" s="1341"/>
      <c r="D514" s="1341"/>
      <c r="E514" s="1341"/>
      <c r="F514" s="1341"/>
      <c r="G514" s="1341"/>
      <c r="H514" s="1342"/>
      <c r="I514" t="s">
        <v>410</v>
      </c>
      <c r="AC514" s="1315">
        <v>2</v>
      </c>
      <c r="AD514" s="1316"/>
      <c r="AE514" s="1316"/>
      <c r="AF514" s="1316"/>
      <c r="AG514" s="13" t="s">
        <v>401</v>
      </c>
      <c r="AH514" s="1318">
        <v>2027</v>
      </c>
      <c r="AI514" s="1318"/>
      <c r="AJ514" s="1318"/>
      <c r="AK514" s="1319"/>
      <c r="AZ514" s="3"/>
      <c r="BA514" s="3"/>
      <c r="BB514" s="3"/>
      <c r="BC514" s="3"/>
      <c r="BD514" s="3"/>
      <c r="BE514" s="3"/>
      <c r="BF514" s="3"/>
      <c r="BG514" s="3"/>
      <c r="BH514" s="3"/>
      <c r="BI514" s="3"/>
      <c r="BJ514" s="3"/>
      <c r="BK514" s="3"/>
      <c r="BL514" s="3"/>
      <c r="BM514" s="3"/>
      <c r="BN514" s="3"/>
    </row>
    <row r="515" spans="2:66" ht="12.95" customHeight="1">
      <c r="B515" s="1340"/>
      <c r="C515" s="1341"/>
      <c r="D515" s="1341"/>
      <c r="E515" s="1341"/>
      <c r="F515" s="1341"/>
      <c r="G515" s="1341"/>
      <c r="H515" s="1342"/>
      <c r="I515" s="3" t="s">
        <v>411</v>
      </c>
      <c r="AC515" s="1290">
        <v>2</v>
      </c>
      <c r="AD515" s="1291"/>
      <c r="AE515" s="1291"/>
      <c r="AF515" s="1291"/>
      <c r="AG515" s="13" t="s">
        <v>401</v>
      </c>
      <c r="AH515" s="1318">
        <v>2027</v>
      </c>
      <c r="AI515" s="1318"/>
      <c r="AJ515" s="1318"/>
      <c r="AK515" s="1319"/>
      <c r="AZ515" s="3"/>
      <c r="BA515" s="3"/>
      <c r="BB515" s="3"/>
      <c r="BC515" s="3"/>
      <c r="BD515" s="3"/>
      <c r="BE515" s="3"/>
      <c r="BF515" s="3"/>
      <c r="BG515" s="3"/>
      <c r="BH515" s="3"/>
      <c r="BI515" s="3"/>
      <c r="BJ515" s="3"/>
      <c r="BK515" s="3"/>
      <c r="BL515" s="3"/>
      <c r="BM515" s="3"/>
      <c r="BN515" s="3"/>
    </row>
    <row r="516" spans="2:66" ht="12.95" customHeight="1">
      <c r="B516" s="1340"/>
      <c r="C516" s="1341"/>
      <c r="D516" s="1341"/>
      <c r="E516" s="1341"/>
      <c r="F516" s="1341"/>
      <c r="G516" s="1341"/>
      <c r="H516" s="1342"/>
      <c r="I516" s="892" t="s">
        <v>169</v>
      </c>
      <c r="J516" s="48"/>
      <c r="K516" s="48"/>
      <c r="L516" s="1388" t="s">
        <v>333</v>
      </c>
      <c r="M516" s="1389"/>
      <c r="N516" s="1389"/>
      <c r="O516" s="1389"/>
      <c r="P516" s="1389"/>
      <c r="Q516" s="1389"/>
      <c r="R516" s="1389"/>
      <c r="S516" s="1389"/>
      <c r="T516" s="1389"/>
      <c r="U516" s="1389"/>
      <c r="V516" s="1389"/>
      <c r="W516" s="1389"/>
      <c r="X516" s="1389"/>
      <c r="Y516" s="1389"/>
      <c r="Z516" s="1389"/>
      <c r="AA516" s="1389"/>
      <c r="AB516" s="1390"/>
      <c r="AC516" s="1315" t="s">
        <v>589</v>
      </c>
      <c r="AD516" s="1316"/>
      <c r="AE516" s="1316"/>
      <c r="AF516" s="1316"/>
      <c r="AG516" s="38" t="s">
        <v>401</v>
      </c>
      <c r="AH516" s="1318"/>
      <c r="AI516" s="1318"/>
      <c r="AJ516" s="1318"/>
      <c r="AK516" s="1319"/>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428" t="s">
        <v>667</v>
      </c>
      <c r="AD517" s="1428"/>
      <c r="AE517" s="1428"/>
      <c r="AF517" s="1428"/>
      <c r="AG517" s="13"/>
      <c r="AH517" s="1391"/>
      <c r="AI517" s="1391"/>
      <c r="AJ517" s="1391"/>
      <c r="AK517" s="1392"/>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290"/>
      <c r="AD518" s="1291"/>
      <c r="AE518" s="1291"/>
      <c r="AF518" s="1292"/>
      <c r="AG518" s="13"/>
      <c r="AH518" s="1391"/>
      <c r="AI518" s="1391"/>
      <c r="AJ518" s="1391"/>
      <c r="AK518" s="1392"/>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373"/>
      <c r="AD520" s="1374"/>
      <c r="AE520" s="1374"/>
      <c r="AF520" s="1375"/>
      <c r="AG520" s="38"/>
      <c r="AH520" s="1508"/>
      <c r="AI520" s="1508"/>
      <c r="AJ520" s="1508"/>
      <c r="AK520" s="1509"/>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4" t="s">
        <v>400</v>
      </c>
      <c r="AD521" s="1346"/>
      <c r="AE521" s="1346"/>
      <c r="AF521" s="1346"/>
      <c r="AG521" s="38" t="s">
        <v>401</v>
      </c>
      <c r="AH521" s="1346" t="s">
        <v>402</v>
      </c>
      <c r="AI521" s="1346"/>
      <c r="AJ521" s="1346"/>
      <c r="AK521" s="1347"/>
      <c r="AZ521" s="3"/>
      <c r="BA521" s="3"/>
      <c r="BB521" s="3"/>
      <c r="BC521" s="3"/>
      <c r="BD521" s="3"/>
      <c r="BE521" s="3"/>
      <c r="BF521" s="3"/>
      <c r="BG521" s="3"/>
      <c r="BH521" s="3"/>
      <c r="BI521" s="3"/>
      <c r="BJ521" s="3"/>
      <c r="BK521" s="3"/>
      <c r="BL521" s="3"/>
      <c r="BM521" s="3"/>
      <c r="BN521" s="3" t="s">
        <v>2057</v>
      </c>
    </row>
    <row r="522" spans="2:66" ht="12.95" customHeight="1">
      <c r="B522" s="1337" t="s">
        <v>412</v>
      </c>
      <c r="C522" s="1338"/>
      <c r="D522" s="1338"/>
      <c r="E522" s="1338"/>
      <c r="F522" s="1338"/>
      <c r="G522" s="1338"/>
      <c r="H522" s="1339"/>
      <c r="I522" s="42" t="s">
        <v>413</v>
      </c>
      <c r="J522" s="42"/>
      <c r="K522" s="42"/>
      <c r="L522" s="42"/>
      <c r="M522" s="42"/>
      <c r="N522" s="42"/>
      <c r="O522" s="42"/>
      <c r="P522" s="42"/>
      <c r="Q522" s="42"/>
      <c r="R522" s="42"/>
      <c r="S522" s="42"/>
      <c r="T522" s="42"/>
      <c r="U522" s="42"/>
      <c r="V522" s="42"/>
      <c r="W522" s="42"/>
      <c r="AC522" s="1315">
        <v>5</v>
      </c>
      <c r="AD522" s="1316"/>
      <c r="AE522" s="1316"/>
      <c r="AF522" s="1316"/>
      <c r="AG522" s="13" t="s">
        <v>401</v>
      </c>
      <c r="AH522" s="1318">
        <v>2026</v>
      </c>
      <c r="AI522" s="1318"/>
      <c r="AJ522" s="1318"/>
      <c r="AK522" s="1319"/>
      <c r="AZ522" s="3"/>
      <c r="BA522" s="3"/>
      <c r="BB522" s="3"/>
      <c r="BC522" s="3"/>
      <c r="BD522" s="3"/>
      <c r="BE522" s="3"/>
      <c r="BF522" s="3"/>
      <c r="BG522" s="3"/>
      <c r="BH522" s="3"/>
      <c r="BI522" s="3"/>
      <c r="BJ522" s="3"/>
      <c r="BK522" s="3"/>
      <c r="BL522" s="3"/>
      <c r="BM522" s="3"/>
      <c r="BN522" s="3" t="s">
        <v>2058</v>
      </c>
    </row>
    <row r="523" spans="2:66" ht="12.95" customHeight="1">
      <c r="B523" s="1340"/>
      <c r="C523" s="1341"/>
      <c r="D523" s="1341"/>
      <c r="E523" s="1341"/>
      <c r="F523" s="1341"/>
      <c r="G523" s="1341"/>
      <c r="H523" s="1342"/>
      <c r="I523" t="s">
        <v>414</v>
      </c>
      <c r="AC523" s="1315">
        <v>5</v>
      </c>
      <c r="AD523" s="1316"/>
      <c r="AE523" s="1316"/>
      <c r="AF523" s="1316"/>
      <c r="AG523" s="13" t="s">
        <v>401</v>
      </c>
      <c r="AH523" s="1318">
        <v>2026</v>
      </c>
      <c r="AI523" s="1318"/>
      <c r="AJ523" s="1318"/>
      <c r="AK523" s="1319"/>
      <c r="AZ523" s="3"/>
      <c r="BA523" s="3"/>
      <c r="BB523" s="3"/>
      <c r="BC523" s="3"/>
      <c r="BD523" s="3"/>
      <c r="BE523" s="3"/>
      <c r="BF523" s="3"/>
      <c r="BG523" s="3"/>
      <c r="BH523" s="3"/>
      <c r="BI523" s="3"/>
      <c r="BJ523" s="3"/>
      <c r="BK523" s="3"/>
      <c r="BL523" s="3"/>
      <c r="BM523" s="3"/>
      <c r="BN523" s="3" t="s">
        <v>2059</v>
      </c>
    </row>
    <row r="524" spans="2:66" ht="12.95" customHeight="1">
      <c r="B524" s="1340"/>
      <c r="C524" s="1341"/>
      <c r="D524" s="1341"/>
      <c r="E524" s="1341"/>
      <c r="F524" s="1341"/>
      <c r="G524" s="1341"/>
      <c r="H524" s="1342"/>
      <c r="I524" s="48" t="s">
        <v>415</v>
      </c>
      <c r="J524" s="48"/>
      <c r="K524" s="48"/>
      <c r="L524" s="48"/>
      <c r="M524" s="48"/>
      <c r="N524" s="48"/>
      <c r="O524" s="48"/>
      <c r="P524" s="48"/>
      <c r="Q524" s="48"/>
      <c r="R524" s="48"/>
      <c r="S524" s="48"/>
      <c r="T524" s="48"/>
      <c r="U524" s="48"/>
      <c r="V524" s="48"/>
      <c r="W524" s="48"/>
      <c r="X524" s="48"/>
      <c r="Y524" s="48"/>
      <c r="Z524" s="48"/>
      <c r="AA524" s="48"/>
      <c r="AB524" s="48"/>
      <c r="AC524" s="1315">
        <v>2</v>
      </c>
      <c r="AD524" s="1316"/>
      <c r="AE524" s="1316"/>
      <c r="AF524" s="1316"/>
      <c r="AG524" s="38" t="s">
        <v>401</v>
      </c>
      <c r="AH524" s="1318">
        <v>2027</v>
      </c>
      <c r="AI524" s="1318"/>
      <c r="AJ524" s="1318"/>
      <c r="AK524" s="1319"/>
      <c r="AZ524" s="3"/>
      <c r="BA524" s="3"/>
      <c r="BB524" s="3"/>
      <c r="BC524" s="3"/>
      <c r="BD524" s="3"/>
      <c r="BE524" s="3"/>
      <c r="BF524" s="3"/>
      <c r="BG524" s="3"/>
      <c r="BH524" s="3"/>
      <c r="BI524" s="3"/>
      <c r="BJ524" s="3"/>
      <c r="BK524" s="3"/>
      <c r="BL524" s="3"/>
      <c r="BM524" s="3"/>
      <c r="BN524" s="3" t="s">
        <v>2060</v>
      </c>
    </row>
    <row r="525" spans="2:66" ht="12.95" customHeight="1">
      <c r="B525" s="1337" t="s">
        <v>416</v>
      </c>
      <c r="C525" s="1338"/>
      <c r="D525" s="1338"/>
      <c r="E525" s="1338"/>
      <c r="F525" s="1338"/>
      <c r="G525" s="1338"/>
      <c r="H525" s="1339"/>
      <c r="I525" s="42" t="s">
        <v>413</v>
      </c>
      <c r="J525" s="42"/>
      <c r="K525" s="42"/>
      <c r="L525" s="42"/>
      <c r="M525" s="42"/>
      <c r="N525" s="42"/>
      <c r="O525" s="42"/>
      <c r="P525" s="42"/>
      <c r="Q525" s="42"/>
      <c r="R525" s="42"/>
      <c r="S525" s="42"/>
      <c r="T525" s="42"/>
      <c r="U525" s="42"/>
      <c r="V525" s="42"/>
      <c r="W525" s="42"/>
      <c r="X525" s="42"/>
      <c r="Y525" s="42"/>
      <c r="Z525" s="42"/>
      <c r="AA525" s="42"/>
      <c r="AB525" s="42"/>
      <c r="AC525" s="1290">
        <v>5</v>
      </c>
      <c r="AD525" s="1291"/>
      <c r="AE525" s="1291"/>
      <c r="AF525" s="1291"/>
      <c r="AG525" s="129" t="s">
        <v>401</v>
      </c>
      <c r="AH525" s="1318">
        <v>2026</v>
      </c>
      <c r="AI525" s="1318"/>
      <c r="AJ525" s="1318"/>
      <c r="AK525" s="1319"/>
      <c r="AZ525" s="3"/>
      <c r="BB525" s="3"/>
      <c r="BC525" s="3"/>
      <c r="BD525" s="3"/>
      <c r="BE525" s="3"/>
      <c r="BF525" s="3"/>
      <c r="BG525" s="3"/>
      <c r="BH525" s="3"/>
      <c r="BI525" s="3"/>
      <c r="BJ525" s="3"/>
      <c r="BK525" s="3"/>
      <c r="BL525" s="3"/>
      <c r="BM525" s="3"/>
      <c r="BN525" s="3" t="s">
        <v>2061</v>
      </c>
    </row>
    <row r="526" spans="2:66" ht="12.95" customHeight="1">
      <c r="B526" s="1340"/>
      <c r="C526" s="1341"/>
      <c r="D526" s="1341"/>
      <c r="E526" s="1341"/>
      <c r="F526" s="1341"/>
      <c r="G526" s="1341"/>
      <c r="H526" s="1342"/>
      <c r="I526" t="s">
        <v>414</v>
      </c>
      <c r="AC526" s="1315">
        <v>5</v>
      </c>
      <c r="AD526" s="1316"/>
      <c r="AE526" s="1316"/>
      <c r="AF526" s="1316"/>
      <c r="AG526" s="13" t="s">
        <v>401</v>
      </c>
      <c r="AH526" s="1318">
        <v>2026</v>
      </c>
      <c r="AI526" s="1318"/>
      <c r="AJ526" s="1318"/>
      <c r="AK526" s="1319"/>
      <c r="BB526" s="3"/>
      <c r="BC526" s="3"/>
      <c r="BD526" s="3"/>
      <c r="BE526" s="3"/>
      <c r="BF526" s="3"/>
      <c r="BG526" s="3"/>
      <c r="BH526" s="3"/>
      <c r="BI526" s="3"/>
      <c r="BJ526" s="3"/>
      <c r="BK526" s="3"/>
      <c r="BL526" s="3"/>
      <c r="BM526" s="3"/>
      <c r="BN526" s="3" t="s">
        <v>2062</v>
      </c>
    </row>
    <row r="527" spans="2:66" ht="12.95" customHeight="1">
      <c r="B527" s="1343"/>
      <c r="C527" s="1344"/>
      <c r="D527" s="1344"/>
      <c r="E527" s="1344"/>
      <c r="F527" s="1344"/>
      <c r="G527" s="1344"/>
      <c r="H527" s="1345"/>
      <c r="I527" s="48" t="s">
        <v>415</v>
      </c>
      <c r="J527" s="48"/>
      <c r="K527" s="48"/>
      <c r="L527" s="48"/>
      <c r="M527" s="48"/>
      <c r="N527" s="48"/>
      <c r="O527" s="48"/>
      <c r="P527" s="48"/>
      <c r="Q527" s="48"/>
      <c r="R527" s="48"/>
      <c r="S527" s="48"/>
      <c r="T527" s="48"/>
      <c r="U527" s="48"/>
      <c r="V527" s="48"/>
      <c r="W527" s="48"/>
      <c r="X527" s="48"/>
      <c r="Y527" s="48"/>
      <c r="Z527" s="48"/>
      <c r="AA527" s="48"/>
      <c r="AB527" s="48"/>
      <c r="AC527" s="1315">
        <v>2</v>
      </c>
      <c r="AD527" s="1316"/>
      <c r="AE527" s="1316"/>
      <c r="AF527" s="1316"/>
      <c r="AG527" s="38" t="s">
        <v>401</v>
      </c>
      <c r="AH527" s="1318">
        <v>2027</v>
      </c>
      <c r="AI527" s="1318"/>
      <c r="AJ527" s="1318"/>
      <c r="AK527" s="1319"/>
      <c r="BB527" s="3"/>
      <c r="BC527" s="3"/>
      <c r="BD527" s="3"/>
      <c r="BE527" s="3"/>
      <c r="BF527" s="3"/>
      <c r="BG527" s="3"/>
      <c r="BH527" s="3"/>
      <c r="BI527" s="3"/>
      <c r="BJ527" s="3"/>
      <c r="BK527" s="3"/>
      <c r="BL527" s="3"/>
      <c r="BM527" s="3"/>
      <c r="BN527" s="3" t="s">
        <v>2063</v>
      </c>
    </row>
    <row r="528" spans="2:66" ht="12.95" customHeight="1">
      <c r="B528" s="1337" t="s">
        <v>417</v>
      </c>
      <c r="C528" s="1338"/>
      <c r="D528" s="1338"/>
      <c r="E528" s="1338"/>
      <c r="F528" s="1338"/>
      <c r="G528" s="1338"/>
      <c r="H528" s="1339"/>
      <c r="I528" s="41" t="s">
        <v>418</v>
      </c>
      <c r="J528" s="42"/>
      <c r="K528" s="42"/>
      <c r="L528" s="42"/>
      <c r="M528" s="42"/>
      <c r="N528" s="42"/>
      <c r="O528" s="1388" t="s">
        <v>2753</v>
      </c>
      <c r="P528" s="1389"/>
      <c r="Q528" s="1389"/>
      <c r="R528" s="1389"/>
      <c r="S528" s="1389"/>
      <c r="T528" s="1389"/>
      <c r="U528" s="1389"/>
      <c r="V528" s="1389"/>
      <c r="W528" s="1389"/>
      <c r="X528" s="1389"/>
      <c r="Y528" s="1389"/>
      <c r="Z528" s="1389"/>
      <c r="AA528" s="1389"/>
      <c r="AB528" s="58"/>
      <c r="AC528" s="1290" t="s">
        <v>589</v>
      </c>
      <c r="AD528" s="1291"/>
      <c r="AE528" s="1291"/>
      <c r="AF528" s="1291"/>
      <c r="AG528" s="129" t="s">
        <v>401</v>
      </c>
      <c r="AH528" s="1318"/>
      <c r="AI528" s="1318"/>
      <c r="AJ528" s="1318"/>
      <c r="AK528" s="1319"/>
      <c r="AZ528" s="3"/>
      <c r="BB528" s="3"/>
      <c r="BC528" s="3"/>
      <c r="BD528" s="3"/>
      <c r="BE528" s="3"/>
      <c r="BF528" s="3"/>
      <c r="BG528" s="3"/>
      <c r="BH528" s="3"/>
      <c r="BI528" s="3"/>
      <c r="BJ528" s="3"/>
      <c r="BK528" s="3"/>
      <c r="BL528" s="3"/>
      <c r="BM528" s="3"/>
      <c r="BN528" s="3" t="s">
        <v>2064</v>
      </c>
    </row>
    <row r="529" spans="2:66" ht="12.95" customHeight="1">
      <c r="B529" s="1340"/>
      <c r="C529" s="1341"/>
      <c r="D529" s="1341"/>
      <c r="E529" s="1341"/>
      <c r="F529" s="1341"/>
      <c r="G529" s="1341"/>
      <c r="H529" s="1342"/>
      <c r="I529" s="114" t="s">
        <v>419</v>
      </c>
      <c r="AB529" s="65"/>
      <c r="AC529" s="1315">
        <v>5</v>
      </c>
      <c r="AD529" s="1316"/>
      <c r="AE529" s="1316"/>
      <c r="AF529" s="1316"/>
      <c r="AG529" s="13" t="s">
        <v>401</v>
      </c>
      <c r="AH529" s="1318">
        <v>2026</v>
      </c>
      <c r="AI529" s="1318"/>
      <c r="AJ529" s="1318"/>
      <c r="AK529" s="1319"/>
      <c r="AZ529" s="3"/>
      <c r="BB529" s="3"/>
      <c r="BC529" s="3"/>
      <c r="BD529" s="3"/>
      <c r="BE529" s="3"/>
      <c r="BF529" s="3"/>
      <c r="BG529" s="3"/>
      <c r="BH529" s="3"/>
      <c r="BI529" s="3"/>
      <c r="BJ529" s="3"/>
      <c r="BK529" s="3"/>
      <c r="BL529" s="3"/>
      <c r="BM529" s="3"/>
      <c r="BN529" s="3" t="s">
        <v>2065</v>
      </c>
    </row>
    <row r="530" spans="2:66" ht="12.95" customHeight="1">
      <c r="B530" s="1340"/>
      <c r="C530" s="1341"/>
      <c r="D530" s="1341"/>
      <c r="E530" s="1341"/>
      <c r="F530" s="1341"/>
      <c r="G530" s="1341"/>
      <c r="H530" s="1342"/>
      <c r="I530" s="47" t="s">
        <v>420</v>
      </c>
      <c r="J530" s="48"/>
      <c r="K530" s="48"/>
      <c r="L530" s="48"/>
      <c r="M530" s="48"/>
      <c r="N530" s="48"/>
      <c r="O530" s="48"/>
      <c r="P530" s="48"/>
      <c r="Q530" s="48"/>
      <c r="R530" s="48"/>
      <c r="S530" s="48"/>
      <c r="T530" s="48"/>
      <c r="U530" s="48"/>
      <c r="V530" s="48"/>
      <c r="W530" s="48"/>
      <c r="X530" s="48"/>
      <c r="Y530" s="48"/>
      <c r="Z530" s="48"/>
      <c r="AA530" s="48"/>
      <c r="AB530" s="49"/>
      <c r="AC530" s="1315">
        <v>2</v>
      </c>
      <c r="AD530" s="1316"/>
      <c r="AE530" s="1316"/>
      <c r="AF530" s="1316"/>
      <c r="AG530" s="38" t="s">
        <v>401</v>
      </c>
      <c r="AH530" s="1318">
        <v>2027</v>
      </c>
      <c r="AI530" s="1318"/>
      <c r="AJ530" s="1318"/>
      <c r="AK530" s="1319"/>
      <c r="AZ530" s="3"/>
      <c r="BA530" s="3"/>
      <c r="BB530" s="3"/>
      <c r="BC530" s="3"/>
      <c r="BD530" s="3"/>
      <c r="BE530" s="3"/>
      <c r="BF530" s="3"/>
      <c r="BG530" s="3"/>
      <c r="BH530" s="3"/>
      <c r="BI530" s="3"/>
      <c r="BJ530" s="3"/>
      <c r="BK530" s="3"/>
      <c r="BL530" s="3"/>
      <c r="BM530" s="3"/>
      <c r="BN530" s="3" t="s">
        <v>2066</v>
      </c>
    </row>
    <row r="531" spans="2:66" ht="12.95" customHeight="1">
      <c r="B531" s="1340"/>
      <c r="C531" s="1341"/>
      <c r="D531" s="1341"/>
      <c r="E531" s="1341"/>
      <c r="F531" s="1341"/>
      <c r="G531" s="1341"/>
      <c r="H531" s="1342"/>
      <c r="I531" s="42" t="s">
        <v>421</v>
      </c>
      <c r="J531" s="42"/>
      <c r="K531" s="42"/>
      <c r="L531" s="42"/>
      <c r="M531" s="42"/>
      <c r="N531" s="42"/>
      <c r="O531" s="1388" t="s">
        <v>333</v>
      </c>
      <c r="P531" s="1389"/>
      <c r="Q531" s="1389"/>
      <c r="R531" s="1389"/>
      <c r="S531" s="1389"/>
      <c r="T531" s="1389"/>
      <c r="U531" s="1389"/>
      <c r="V531" s="1389"/>
      <c r="W531" s="1389"/>
      <c r="X531" s="1389"/>
      <c r="Y531" s="1389"/>
      <c r="Z531" s="1389"/>
      <c r="AA531" s="1389"/>
      <c r="AC531" s="1315" t="s">
        <v>589</v>
      </c>
      <c r="AD531" s="1316"/>
      <c r="AE531" s="1316"/>
      <c r="AF531" s="1316"/>
      <c r="AG531" s="13" t="s">
        <v>401</v>
      </c>
      <c r="AH531" s="1318"/>
      <c r="AI531" s="1318"/>
      <c r="AJ531" s="1318"/>
      <c r="AK531" s="1319"/>
      <c r="AZ531" s="3"/>
      <c r="BA531" s="3"/>
      <c r="BB531" s="3"/>
      <c r="BC531" s="3"/>
      <c r="BD531" s="3"/>
      <c r="BE531" s="3"/>
      <c r="BF531" s="3"/>
      <c r="BG531" s="3"/>
      <c r="BH531" s="3"/>
      <c r="BI531" s="3"/>
      <c r="BJ531" s="3"/>
      <c r="BK531" s="3"/>
      <c r="BL531" s="3"/>
      <c r="BM531" s="3"/>
      <c r="BN531" s="3" t="s">
        <v>2067</v>
      </c>
    </row>
    <row r="532" spans="2:66" ht="12.95" customHeight="1">
      <c r="B532" s="1340"/>
      <c r="C532" s="1341"/>
      <c r="D532" s="1341"/>
      <c r="E532" s="1341"/>
      <c r="F532" s="1341"/>
      <c r="G532" s="1341"/>
      <c r="H532" s="1342"/>
      <c r="I532" t="s">
        <v>419</v>
      </c>
      <c r="AC532" s="1315" t="s">
        <v>589</v>
      </c>
      <c r="AD532" s="1316"/>
      <c r="AE532" s="1316"/>
      <c r="AF532" s="1316"/>
      <c r="AG532" s="13" t="s">
        <v>401</v>
      </c>
      <c r="AH532" s="1318"/>
      <c r="AI532" s="1318"/>
      <c r="AJ532" s="1318"/>
      <c r="AK532" s="1319"/>
      <c r="AZ532" s="3"/>
      <c r="BA532" s="3"/>
      <c r="BB532" s="3"/>
      <c r="BC532" s="3"/>
      <c r="BD532" s="3"/>
      <c r="BE532" s="3"/>
      <c r="BF532" s="3"/>
      <c r="BG532" s="3"/>
      <c r="BH532" s="3"/>
      <c r="BI532" s="3"/>
      <c r="BJ532" s="3"/>
      <c r="BK532" s="3"/>
      <c r="BL532" s="3"/>
      <c r="BM532" s="3"/>
      <c r="BN532" s="3" t="s">
        <v>2068</v>
      </c>
    </row>
    <row r="533" spans="2:66" ht="12.95" customHeight="1">
      <c r="B533" s="1340"/>
      <c r="C533" s="1341"/>
      <c r="D533" s="1341"/>
      <c r="E533" s="1341"/>
      <c r="F533" s="1341"/>
      <c r="G533" s="1341"/>
      <c r="H533" s="1342"/>
      <c r="I533" s="48" t="s">
        <v>420</v>
      </c>
      <c r="J533" s="48"/>
      <c r="K533" s="48"/>
      <c r="L533" s="48"/>
      <c r="M533" s="48"/>
      <c r="N533" s="48"/>
      <c r="O533" s="48"/>
      <c r="P533" s="48"/>
      <c r="Q533" s="48"/>
      <c r="R533" s="48"/>
      <c r="S533" s="48"/>
      <c r="T533" s="48"/>
      <c r="U533" s="48"/>
      <c r="V533" s="48"/>
      <c r="W533" s="48"/>
      <c r="X533" s="48"/>
      <c r="Y533" s="48"/>
      <c r="Z533" s="48"/>
      <c r="AA533" s="48"/>
      <c r="AB533" s="48"/>
      <c r="AC533" s="1315" t="s">
        <v>589</v>
      </c>
      <c r="AD533" s="1316"/>
      <c r="AE533" s="1316"/>
      <c r="AF533" s="1316"/>
      <c r="AG533" s="38" t="s">
        <v>401</v>
      </c>
      <c r="AH533" s="1318"/>
      <c r="AI533" s="1318"/>
      <c r="AJ533" s="1318"/>
      <c r="AK533" s="1319"/>
      <c r="AZ533" s="3"/>
      <c r="BA533" s="3"/>
      <c r="BB533" s="3"/>
      <c r="BC533" s="3"/>
      <c r="BD533" s="3"/>
      <c r="BE533" s="3"/>
      <c r="BF533" s="3"/>
      <c r="BG533" s="3"/>
      <c r="BH533" s="3"/>
      <c r="BI533" s="3"/>
      <c r="BJ533" s="3"/>
      <c r="BK533" s="3"/>
      <c r="BL533" s="3"/>
      <c r="BM533" s="3"/>
      <c r="BN533" s="3" t="s">
        <v>2069</v>
      </c>
    </row>
    <row r="534" spans="2:66" ht="12.95" customHeight="1">
      <c r="B534" s="1340"/>
      <c r="C534" s="1341"/>
      <c r="D534" s="1341"/>
      <c r="E534" s="1341"/>
      <c r="F534" s="1341"/>
      <c r="G534" s="1341"/>
      <c r="H534" s="1342"/>
      <c r="I534" s="42" t="s">
        <v>421</v>
      </c>
      <c r="J534" s="42"/>
      <c r="K534" s="42"/>
      <c r="L534" s="42"/>
      <c r="M534" s="42"/>
      <c r="N534" s="42"/>
      <c r="O534" s="1388" t="s">
        <v>333</v>
      </c>
      <c r="P534" s="1389"/>
      <c r="Q534" s="1389"/>
      <c r="R534" s="1389"/>
      <c r="S534" s="1389"/>
      <c r="T534" s="1389"/>
      <c r="U534" s="1389"/>
      <c r="V534" s="1389"/>
      <c r="W534" s="1389"/>
      <c r="X534" s="1389"/>
      <c r="Y534" s="1389"/>
      <c r="Z534" s="1389"/>
      <c r="AA534" s="1389"/>
      <c r="AC534" s="1315" t="s">
        <v>589</v>
      </c>
      <c r="AD534" s="1316"/>
      <c r="AE534" s="1316"/>
      <c r="AF534" s="1316"/>
      <c r="AG534" s="13" t="s">
        <v>401</v>
      </c>
      <c r="AH534" s="1318"/>
      <c r="AI534" s="1318"/>
      <c r="AJ534" s="1318"/>
      <c r="AK534" s="1319"/>
      <c r="AZ534" s="3"/>
      <c r="BA534" s="3"/>
      <c r="BB534" s="3"/>
      <c r="BC534" s="3"/>
      <c r="BD534" s="3"/>
      <c r="BE534" s="3"/>
      <c r="BF534" s="3"/>
      <c r="BG534" s="3"/>
      <c r="BH534" s="3"/>
      <c r="BI534" s="3"/>
      <c r="BJ534" s="3"/>
      <c r="BK534" s="3"/>
      <c r="BL534" s="3"/>
      <c r="BM534" s="3"/>
      <c r="BN534" s="3" t="s">
        <v>2070</v>
      </c>
    </row>
    <row r="535" spans="2:66" ht="12.95" customHeight="1">
      <c r="B535" s="1340"/>
      <c r="C535" s="1341"/>
      <c r="D535" s="1341"/>
      <c r="E535" s="1341"/>
      <c r="F535" s="1341"/>
      <c r="G535" s="1341"/>
      <c r="H535" s="1342"/>
      <c r="I535" t="s">
        <v>419</v>
      </c>
      <c r="AC535" s="1315" t="s">
        <v>589</v>
      </c>
      <c r="AD535" s="1316"/>
      <c r="AE535" s="1316"/>
      <c r="AF535" s="1316"/>
      <c r="AG535" s="13" t="s">
        <v>401</v>
      </c>
      <c r="AH535" s="1318"/>
      <c r="AI535" s="1318"/>
      <c r="AJ535" s="1318"/>
      <c r="AK535" s="1319"/>
      <c r="AZ535" s="3"/>
      <c r="BA535" s="3"/>
      <c r="BB535" s="3"/>
      <c r="BC535" s="3"/>
      <c r="BD535" s="3"/>
      <c r="BE535" s="3"/>
      <c r="BF535" s="3"/>
      <c r="BG535" s="3"/>
      <c r="BH535" s="3"/>
      <c r="BI535" s="3"/>
      <c r="BJ535" s="3"/>
      <c r="BK535" s="3"/>
      <c r="BL535" s="3"/>
      <c r="BM535" s="3"/>
      <c r="BN535" s="3" t="s">
        <v>2071</v>
      </c>
    </row>
    <row r="536" spans="2:66" ht="12.95" customHeight="1">
      <c r="B536" s="1340"/>
      <c r="C536" s="1341"/>
      <c r="D536" s="1341"/>
      <c r="E536" s="1341"/>
      <c r="F536" s="1341"/>
      <c r="G536" s="1341"/>
      <c r="H536" s="1342"/>
      <c r="I536" s="48" t="s">
        <v>420</v>
      </c>
      <c r="J536" s="48"/>
      <c r="K536" s="48"/>
      <c r="L536" s="48"/>
      <c r="M536" s="48"/>
      <c r="N536" s="48"/>
      <c r="O536" s="48"/>
      <c r="P536" s="48"/>
      <c r="Q536" s="48"/>
      <c r="R536" s="48"/>
      <c r="S536" s="48"/>
      <c r="T536" s="48"/>
      <c r="U536" s="48"/>
      <c r="V536" s="48"/>
      <c r="W536" s="48"/>
      <c r="X536" s="48"/>
      <c r="Y536" s="48"/>
      <c r="Z536" s="48"/>
      <c r="AA536" s="48"/>
      <c r="AB536" s="48"/>
      <c r="AC536" s="1315" t="s">
        <v>589</v>
      </c>
      <c r="AD536" s="1316"/>
      <c r="AE536" s="1316"/>
      <c r="AF536" s="1316"/>
      <c r="AG536" s="38" t="s">
        <v>401</v>
      </c>
      <c r="AH536" s="1318"/>
      <c r="AI536" s="1318"/>
      <c r="AJ536" s="1318"/>
      <c r="AK536" s="1319"/>
      <c r="AZ536" s="3"/>
      <c r="BA536" s="3"/>
      <c r="BB536" s="3"/>
      <c r="BC536" s="3"/>
      <c r="BD536" s="3"/>
      <c r="BE536" s="3"/>
      <c r="BF536" s="3"/>
      <c r="BG536" s="3"/>
      <c r="BH536" s="3"/>
      <c r="BI536" s="3"/>
      <c r="BJ536" s="3"/>
      <c r="BK536" s="3"/>
      <c r="BL536" s="3"/>
      <c r="BM536" s="3"/>
      <c r="BN536" s="3" t="s">
        <v>2072</v>
      </c>
    </row>
    <row r="537" spans="2:66" ht="12.95" customHeight="1">
      <c r="B537" s="1340"/>
      <c r="C537" s="1341"/>
      <c r="D537" s="1341"/>
      <c r="E537" s="1341"/>
      <c r="F537" s="1341"/>
      <c r="G537" s="1341"/>
      <c r="H537" s="1342"/>
      <c r="I537" s="42" t="s">
        <v>421</v>
      </c>
      <c r="J537" s="42"/>
      <c r="K537" s="42"/>
      <c r="L537" s="42"/>
      <c r="M537" s="42"/>
      <c r="N537" s="42"/>
      <c r="O537" s="1388" t="s">
        <v>333</v>
      </c>
      <c r="P537" s="1389"/>
      <c r="Q537" s="1389"/>
      <c r="R537" s="1389"/>
      <c r="S537" s="1389"/>
      <c r="T537" s="1389"/>
      <c r="U537" s="1389"/>
      <c r="V537" s="1389"/>
      <c r="W537" s="1389"/>
      <c r="X537" s="1389"/>
      <c r="Y537" s="1389"/>
      <c r="Z537" s="1389"/>
      <c r="AA537" s="1389"/>
      <c r="AC537" s="1315" t="s">
        <v>589</v>
      </c>
      <c r="AD537" s="1316"/>
      <c r="AE537" s="1316"/>
      <c r="AF537" s="1316"/>
      <c r="AG537" s="13" t="s">
        <v>401</v>
      </c>
      <c r="AH537" s="1318"/>
      <c r="AI537" s="1318"/>
      <c r="AJ537" s="1318"/>
      <c r="AK537" s="1319"/>
      <c r="AZ537" s="3"/>
      <c r="BA537" s="3"/>
      <c r="BB537" s="3"/>
      <c r="BC537" s="3"/>
      <c r="BD537" s="3"/>
      <c r="BE537" s="3"/>
      <c r="BF537" s="3"/>
      <c r="BG537" s="3"/>
      <c r="BH537" s="3"/>
      <c r="BI537" s="3"/>
      <c r="BJ537" s="3"/>
      <c r="BK537" s="3"/>
      <c r="BL537" s="3"/>
      <c r="BM537" s="3"/>
      <c r="BN537" s="3" t="s">
        <v>2073</v>
      </c>
    </row>
    <row r="538" spans="2:66" ht="12.95" customHeight="1">
      <c r="B538" s="1340"/>
      <c r="C538" s="1341"/>
      <c r="D538" s="1341"/>
      <c r="E538" s="1341"/>
      <c r="F538" s="1341"/>
      <c r="G538" s="1341"/>
      <c r="H538" s="1342"/>
      <c r="I538" t="s">
        <v>419</v>
      </c>
      <c r="AC538" s="1315" t="s">
        <v>589</v>
      </c>
      <c r="AD538" s="1316"/>
      <c r="AE538" s="1316"/>
      <c r="AF538" s="1316"/>
      <c r="AG538" s="13" t="s">
        <v>401</v>
      </c>
      <c r="AH538" s="1318"/>
      <c r="AI538" s="1318"/>
      <c r="AJ538" s="1318"/>
      <c r="AK538" s="1319"/>
      <c r="AZ538" s="3"/>
      <c r="BA538" s="3"/>
      <c r="BB538" s="3"/>
      <c r="BC538" s="3"/>
      <c r="BD538" s="3"/>
      <c r="BE538" s="3"/>
      <c r="BF538" s="3"/>
      <c r="BG538" s="3"/>
      <c r="BH538" s="3"/>
      <c r="BI538" s="3"/>
      <c r="BJ538" s="3"/>
      <c r="BK538" s="3"/>
      <c r="BL538" s="3"/>
      <c r="BM538" s="3"/>
      <c r="BN538" s="3" t="s">
        <v>2074</v>
      </c>
    </row>
    <row r="539" spans="2:66" ht="12.95" customHeight="1">
      <c r="B539" s="1340"/>
      <c r="C539" s="1341"/>
      <c r="D539" s="1341"/>
      <c r="E539" s="1341"/>
      <c r="F539" s="1341"/>
      <c r="G539" s="1341"/>
      <c r="H539" s="1342"/>
      <c r="I539" s="48" t="s">
        <v>420</v>
      </c>
      <c r="J539" s="48"/>
      <c r="K539" s="48"/>
      <c r="L539" s="48"/>
      <c r="M539" s="48"/>
      <c r="N539" s="48"/>
      <c r="O539" s="48"/>
      <c r="P539" s="48"/>
      <c r="Q539" s="48"/>
      <c r="R539" s="48"/>
      <c r="S539" s="48"/>
      <c r="T539" s="48"/>
      <c r="U539" s="48"/>
      <c r="V539" s="48"/>
      <c r="W539" s="48"/>
      <c r="X539" s="48"/>
      <c r="Y539" s="48"/>
      <c r="Z539" s="48"/>
      <c r="AA539" s="48"/>
      <c r="AB539" s="48"/>
      <c r="AC539" s="1315" t="s">
        <v>589</v>
      </c>
      <c r="AD539" s="1316"/>
      <c r="AE539" s="1316"/>
      <c r="AF539" s="1316"/>
      <c r="AG539" s="38" t="s">
        <v>401</v>
      </c>
      <c r="AH539" s="1318"/>
      <c r="AI539" s="1318"/>
      <c r="AJ539" s="1318"/>
      <c r="AK539" s="1319"/>
      <c r="AZ539" s="3"/>
      <c r="BA539" s="3"/>
      <c r="BB539" s="3"/>
      <c r="BC539" s="3"/>
      <c r="BD539" s="3"/>
      <c r="BE539" s="3"/>
      <c r="BF539" s="3"/>
      <c r="BG539" s="3"/>
      <c r="BH539" s="3"/>
      <c r="BI539" s="3"/>
      <c r="BJ539" s="3"/>
      <c r="BK539" s="3"/>
      <c r="BL539" s="3"/>
      <c r="BM539" s="3"/>
      <c r="BN539" s="3" t="s">
        <v>2075</v>
      </c>
    </row>
    <row r="540" spans="2:66" ht="12.95" customHeight="1">
      <c r="B540" s="1340"/>
      <c r="C540" s="1341"/>
      <c r="D540" s="1341"/>
      <c r="E540" s="1341"/>
      <c r="F540" s="1341"/>
      <c r="G540" s="1341"/>
      <c r="H540" s="1342"/>
      <c r="I540" s="42" t="s">
        <v>421</v>
      </c>
      <c r="J540" s="42"/>
      <c r="K540" s="42"/>
      <c r="L540" s="42"/>
      <c r="M540" s="42"/>
      <c r="N540" s="42"/>
      <c r="O540" s="1388" t="s">
        <v>333</v>
      </c>
      <c r="P540" s="1389"/>
      <c r="Q540" s="1389"/>
      <c r="R540" s="1389"/>
      <c r="S540" s="1389"/>
      <c r="T540" s="1389"/>
      <c r="U540" s="1389"/>
      <c r="V540" s="1389"/>
      <c r="W540" s="1389"/>
      <c r="X540" s="1389"/>
      <c r="Y540" s="1389"/>
      <c r="Z540" s="1389"/>
      <c r="AA540" s="1389"/>
      <c r="AC540" s="1315" t="s">
        <v>589</v>
      </c>
      <c r="AD540" s="1316"/>
      <c r="AE540" s="1316"/>
      <c r="AF540" s="1316"/>
      <c r="AG540" s="13" t="s">
        <v>401</v>
      </c>
      <c r="AH540" s="1318"/>
      <c r="AI540" s="1318"/>
      <c r="AJ540" s="1318"/>
      <c r="AK540" s="1319"/>
      <c r="AZ540" s="3"/>
      <c r="BA540" s="3"/>
      <c r="BB540" s="3"/>
      <c r="BC540" s="3"/>
      <c r="BD540" s="3"/>
      <c r="BE540" s="3"/>
      <c r="BF540" s="3"/>
      <c r="BG540" s="3"/>
      <c r="BH540" s="3"/>
      <c r="BI540" s="3"/>
      <c r="BJ540" s="3"/>
      <c r="BK540" s="3"/>
      <c r="BL540" s="3"/>
      <c r="BM540" s="3"/>
      <c r="BN540" s="3" t="s">
        <v>2076</v>
      </c>
    </row>
    <row r="541" spans="2:66" ht="12.95" customHeight="1">
      <c r="B541" s="1340"/>
      <c r="C541" s="1341"/>
      <c r="D541" s="1341"/>
      <c r="E541" s="1341"/>
      <c r="F541" s="1341"/>
      <c r="G541" s="1341"/>
      <c r="H541" s="1342"/>
      <c r="I541" t="s">
        <v>419</v>
      </c>
      <c r="AC541" s="1315" t="s">
        <v>589</v>
      </c>
      <c r="AD541" s="1316"/>
      <c r="AE541" s="1316"/>
      <c r="AF541" s="1316"/>
      <c r="AG541" s="38" t="s">
        <v>401</v>
      </c>
      <c r="AH541" s="1318"/>
      <c r="AI541" s="1318"/>
      <c r="AJ541" s="1318"/>
      <c r="AK541" s="1319"/>
      <c r="AZ541" s="3"/>
      <c r="BA541" s="3"/>
      <c r="BB541" s="3"/>
      <c r="BC541" s="3"/>
      <c r="BD541" s="3"/>
      <c r="BE541" s="3"/>
      <c r="BF541" s="3"/>
      <c r="BG541" s="3"/>
      <c r="BH541" s="3"/>
      <c r="BI541" s="3"/>
      <c r="BJ541" s="3"/>
      <c r="BK541" s="3"/>
      <c r="BL541" s="3"/>
      <c r="BM541" s="3"/>
      <c r="BN541" s="3" t="s">
        <v>2077</v>
      </c>
    </row>
    <row r="542" spans="2:66" ht="12.95" customHeight="1">
      <c r="B542" s="1340"/>
      <c r="C542" s="1341"/>
      <c r="D542" s="1341"/>
      <c r="E542" s="1341"/>
      <c r="F542" s="1341"/>
      <c r="G542" s="1341"/>
      <c r="H542" s="1342"/>
      <c r="I542" s="48" t="s">
        <v>420</v>
      </c>
      <c r="J542" s="48"/>
      <c r="K542" s="48"/>
      <c r="L542" s="48"/>
      <c r="M542" s="48"/>
      <c r="N542" s="48"/>
      <c r="O542" s="48"/>
      <c r="P542" s="48"/>
      <c r="Q542" s="48"/>
      <c r="R542" s="48"/>
      <c r="S542" s="48"/>
      <c r="T542" s="48"/>
      <c r="U542" s="48"/>
      <c r="V542" s="48"/>
      <c r="W542" s="48"/>
      <c r="X542" s="48"/>
      <c r="Y542" s="48"/>
      <c r="Z542" s="48"/>
      <c r="AA542" s="48"/>
      <c r="AB542" s="48"/>
      <c r="AC542" s="1315" t="s">
        <v>589</v>
      </c>
      <c r="AD542" s="1316"/>
      <c r="AE542" s="1316"/>
      <c r="AF542" s="1316"/>
      <c r="AG542" s="13" t="s">
        <v>401</v>
      </c>
      <c r="AH542" s="1318"/>
      <c r="AI542" s="1318"/>
      <c r="AJ542" s="1318"/>
      <c r="AK542" s="1319"/>
      <c r="AZ542" s="3"/>
      <c r="BA542" s="3"/>
      <c r="BB542" s="3"/>
      <c r="BC542" s="3"/>
      <c r="BD542" s="3"/>
      <c r="BE542" s="3"/>
      <c r="BF542" s="3"/>
      <c r="BG542" s="3"/>
      <c r="BH542" s="3"/>
      <c r="BI542" s="3"/>
      <c r="BJ542" s="3"/>
      <c r="BK542" s="3"/>
      <c r="BL542" s="3"/>
      <c r="BM542" s="3"/>
      <c r="BN542" s="3" t="s">
        <v>2078</v>
      </c>
    </row>
    <row r="543" spans="2:66" ht="12.95" customHeight="1">
      <c r="B543" s="1340"/>
      <c r="C543" s="1341"/>
      <c r="D543" s="1341"/>
      <c r="E543" s="1341"/>
      <c r="F543" s="1341"/>
      <c r="G543" s="1341"/>
      <c r="H543" s="1342"/>
      <c r="I543" s="42" t="s">
        <v>421</v>
      </c>
      <c r="J543" s="42"/>
      <c r="K543" s="42"/>
      <c r="L543" s="42"/>
      <c r="M543" s="42"/>
      <c r="N543" s="42"/>
      <c r="O543" s="1388" t="s">
        <v>333</v>
      </c>
      <c r="P543" s="1389"/>
      <c r="Q543" s="1389"/>
      <c r="R543" s="1389"/>
      <c r="S543" s="1389"/>
      <c r="T543" s="1389"/>
      <c r="U543" s="1389"/>
      <c r="V543" s="1389"/>
      <c r="W543" s="1389"/>
      <c r="X543" s="1389"/>
      <c r="Y543" s="1389"/>
      <c r="Z543" s="1389"/>
      <c r="AA543" s="1389"/>
      <c r="AC543" s="1315" t="s">
        <v>589</v>
      </c>
      <c r="AD543" s="1316"/>
      <c r="AE543" s="1316"/>
      <c r="AF543" s="1316"/>
      <c r="AG543" s="38" t="s">
        <v>401</v>
      </c>
      <c r="AH543" s="1318"/>
      <c r="AI543" s="1318"/>
      <c r="AJ543" s="1318"/>
      <c r="AK543" s="1319"/>
      <c r="AZ543" s="3"/>
      <c r="BA543" s="3"/>
      <c r="BB543" s="3"/>
      <c r="BC543" s="3"/>
      <c r="BD543" s="3"/>
      <c r="BE543" s="3"/>
      <c r="BF543" s="3"/>
      <c r="BG543" s="3"/>
      <c r="BH543" s="3"/>
      <c r="BI543" s="3"/>
      <c r="BJ543" s="3"/>
      <c r="BK543" s="3"/>
      <c r="BL543" s="3"/>
      <c r="BM543" s="3"/>
      <c r="BN543" s="3" t="s">
        <v>2079</v>
      </c>
    </row>
    <row r="544" spans="2:66" ht="12.95" customHeight="1">
      <c r="B544" s="1340"/>
      <c r="C544" s="1341"/>
      <c r="D544" s="1341"/>
      <c r="E544" s="1341"/>
      <c r="F544" s="1341"/>
      <c r="G544" s="1341"/>
      <c r="H544" s="1342"/>
      <c r="I544" t="s">
        <v>419</v>
      </c>
      <c r="AC544" s="1315" t="s">
        <v>589</v>
      </c>
      <c r="AD544" s="1316"/>
      <c r="AE544" s="1316"/>
      <c r="AF544" s="1316"/>
      <c r="AG544" s="13" t="s">
        <v>401</v>
      </c>
      <c r="AH544" s="1318"/>
      <c r="AI544" s="1318"/>
      <c r="AJ544" s="1318"/>
      <c r="AK544" s="1319"/>
      <c r="AZ544" s="3"/>
      <c r="BA544" s="3"/>
      <c r="BB544" s="3"/>
      <c r="BC544" s="3"/>
      <c r="BD544" s="3"/>
      <c r="BE544" s="3"/>
      <c r="BF544" s="3"/>
      <c r="BG544" s="3"/>
      <c r="BH544" s="3"/>
      <c r="BI544" s="3"/>
      <c r="BJ544" s="3"/>
      <c r="BK544" s="3"/>
      <c r="BL544" s="3"/>
      <c r="BM544" s="3"/>
      <c r="BN544" s="3" t="s">
        <v>2080</v>
      </c>
    </row>
    <row r="545" spans="1:66" ht="12.95" customHeight="1">
      <c r="B545" s="1340"/>
      <c r="C545" s="1341"/>
      <c r="D545" s="1341"/>
      <c r="E545" s="1341"/>
      <c r="F545" s="1341"/>
      <c r="G545" s="1341"/>
      <c r="H545" s="1342"/>
      <c r="I545" s="48" t="s">
        <v>420</v>
      </c>
      <c r="J545" s="48"/>
      <c r="K545" s="48"/>
      <c r="L545" s="48"/>
      <c r="M545" s="48"/>
      <c r="N545" s="48"/>
      <c r="O545" s="48"/>
      <c r="P545" s="48"/>
      <c r="Q545" s="48"/>
      <c r="R545" s="48"/>
      <c r="S545" s="48"/>
      <c r="T545" s="48"/>
      <c r="U545" s="48"/>
      <c r="V545" s="48"/>
      <c r="W545" s="48"/>
      <c r="X545" s="48"/>
      <c r="Y545" s="48"/>
      <c r="Z545" s="48"/>
      <c r="AA545" s="48"/>
      <c r="AB545" s="48"/>
      <c r="AC545" s="1315" t="s">
        <v>589</v>
      </c>
      <c r="AD545" s="1316"/>
      <c r="AE545" s="1316"/>
      <c r="AF545" s="1316"/>
      <c r="AG545" s="38" t="s">
        <v>401</v>
      </c>
      <c r="AH545" s="1318"/>
      <c r="AI545" s="1318"/>
      <c r="AJ545" s="1318"/>
      <c r="AK545" s="1319"/>
      <c r="AZ545" s="3"/>
      <c r="BA545" s="3"/>
      <c r="BB545" s="3"/>
      <c r="BC545" s="3"/>
      <c r="BD545" s="3"/>
      <c r="BE545" s="3"/>
      <c r="BF545" s="3"/>
      <c r="BG545" s="3"/>
      <c r="BH545" s="3"/>
      <c r="BI545" s="3"/>
      <c r="BJ545" s="3"/>
      <c r="BK545" s="3"/>
      <c r="BL545" s="3"/>
      <c r="BM545" s="3"/>
      <c r="BN545" s="3" t="s">
        <v>2081</v>
      </c>
    </row>
    <row r="546" spans="1:66" ht="12.95" customHeight="1">
      <c r="B546" s="1340"/>
      <c r="C546" s="1341"/>
      <c r="D546" s="1341"/>
      <c r="E546" s="1341"/>
      <c r="F546" s="1341"/>
      <c r="G546" s="1341"/>
      <c r="H546" s="1342"/>
      <c r="I546" s="42" t="s">
        <v>560</v>
      </c>
      <c r="J546" s="42"/>
      <c r="K546" s="42"/>
      <c r="L546" s="42"/>
      <c r="M546" s="42"/>
      <c r="N546" s="42"/>
      <c r="O546" s="42"/>
      <c r="P546" s="42"/>
      <c r="Q546" s="42"/>
      <c r="R546" s="42"/>
      <c r="S546" s="42"/>
      <c r="T546" s="42"/>
      <c r="U546" s="42"/>
      <c r="V546" s="42"/>
      <c r="W546" s="42"/>
      <c r="AC546" s="1315">
        <v>5</v>
      </c>
      <c r="AD546" s="1316"/>
      <c r="AE546" s="1316"/>
      <c r="AF546" s="1316"/>
      <c r="AG546" s="38" t="s">
        <v>401</v>
      </c>
      <c r="AH546" s="1318">
        <v>2027</v>
      </c>
      <c r="AI546" s="1318"/>
      <c r="AJ546" s="1318"/>
      <c r="AK546" s="1319"/>
      <c r="AZ546" s="3"/>
      <c r="BA546" s="3"/>
      <c r="BB546" s="3"/>
      <c r="BC546" s="3"/>
      <c r="BD546" s="3"/>
      <c r="BE546" s="3"/>
      <c r="BF546" s="3"/>
      <c r="BG546" s="3"/>
      <c r="BH546" s="3"/>
      <c r="BI546" s="3"/>
      <c r="BJ546" s="3"/>
      <c r="BK546" s="3"/>
      <c r="BL546" s="3"/>
      <c r="BM546" s="3"/>
      <c r="BN546" s="3"/>
    </row>
    <row r="547" spans="1:66" ht="12.95" customHeight="1">
      <c r="B547" s="1340"/>
      <c r="C547" s="1341"/>
      <c r="D547" s="1341"/>
      <c r="E547" s="1341"/>
      <c r="F547" s="1341"/>
      <c r="G547" s="1341"/>
      <c r="H547" s="1342"/>
      <c r="I547" t="s">
        <v>561</v>
      </c>
      <c r="AC547" s="1315">
        <v>2</v>
      </c>
      <c r="AD547" s="1316"/>
      <c r="AE547" s="1316"/>
      <c r="AF547" s="1316"/>
      <c r="AG547" s="13" t="s">
        <v>401</v>
      </c>
      <c r="AH547" s="1318">
        <v>2027</v>
      </c>
      <c r="AI547" s="1318"/>
      <c r="AJ547" s="1318"/>
      <c r="AK547" s="1319"/>
      <c r="AZ547" s="3"/>
      <c r="BA547" s="3"/>
      <c r="BB547" s="3"/>
      <c r="BC547" s="3"/>
      <c r="BD547" s="3"/>
      <c r="BE547" s="3"/>
      <c r="BF547" s="3"/>
      <c r="BG547" s="3"/>
      <c r="BH547" s="3"/>
      <c r="BI547" s="3"/>
      <c r="BJ547" s="3"/>
      <c r="BK547" s="3"/>
      <c r="BL547" s="3"/>
      <c r="BM547" s="3"/>
      <c r="BN547" s="3"/>
    </row>
    <row r="548" spans="1:66" ht="12.95" customHeight="1">
      <c r="B548" s="1340"/>
      <c r="C548" s="1341"/>
      <c r="D548" s="1341"/>
      <c r="E548" s="1341"/>
      <c r="F548" s="1341"/>
      <c r="G548" s="1341"/>
      <c r="H548" s="1342"/>
      <c r="I548" t="s">
        <v>562</v>
      </c>
      <c r="AC548" s="1315">
        <v>2</v>
      </c>
      <c r="AD548" s="1316"/>
      <c r="AE548" s="1316"/>
      <c r="AF548" s="1316"/>
      <c r="AG548" s="38" t="s">
        <v>401</v>
      </c>
      <c r="AH548" s="1318">
        <v>2029</v>
      </c>
      <c r="AI548" s="1318"/>
      <c r="AJ548" s="1318"/>
      <c r="AK548" s="1319"/>
      <c r="AZ548" s="3"/>
      <c r="BA548" s="3"/>
      <c r="BB548" s="3"/>
      <c r="BC548" s="3"/>
      <c r="BD548" s="3"/>
      <c r="BE548" s="3"/>
      <c r="BF548" s="3"/>
      <c r="BG548" s="3"/>
      <c r="BH548" s="3"/>
      <c r="BI548" s="3"/>
      <c r="BJ548" s="3"/>
      <c r="BK548" s="3"/>
      <c r="BL548" s="3"/>
      <c r="BM548" s="3"/>
      <c r="BN548" s="3"/>
    </row>
    <row r="549" spans="1:66" ht="12.95" customHeight="1">
      <c r="B549" s="1340"/>
      <c r="C549" s="1341"/>
      <c r="D549" s="1341"/>
      <c r="E549" s="1341"/>
      <c r="F549" s="1341"/>
      <c r="G549" s="1341"/>
      <c r="H549" s="1342"/>
      <c r="I549" t="s">
        <v>563</v>
      </c>
      <c r="AC549" s="1315">
        <v>2</v>
      </c>
      <c r="AD549" s="1316"/>
      <c r="AE549" s="1316"/>
      <c r="AF549" s="1316"/>
      <c r="AG549" s="38" t="s">
        <v>401</v>
      </c>
      <c r="AH549" s="1318">
        <v>2029</v>
      </c>
      <c r="AI549" s="1318"/>
      <c r="AJ549" s="1318"/>
      <c r="AK549" s="1319"/>
      <c r="AZ549" s="3"/>
      <c r="BA549" s="3"/>
      <c r="BB549" s="3"/>
      <c r="BC549" s="3"/>
      <c r="BD549" s="3"/>
      <c r="BE549" s="3"/>
      <c r="BF549" s="3"/>
      <c r="BG549" s="3"/>
      <c r="BH549" s="3"/>
      <c r="BI549" s="3"/>
      <c r="BJ549" s="3"/>
      <c r="BK549" s="3"/>
      <c r="BL549" s="3"/>
      <c r="BM549" s="3"/>
      <c r="BN549" s="3"/>
    </row>
    <row r="550" spans="1:66" ht="12.95" customHeight="1">
      <c r="B550" s="1343"/>
      <c r="C550" s="1344"/>
      <c r="D550" s="1344"/>
      <c r="E550" s="1344"/>
      <c r="F550" s="1344"/>
      <c r="G550" s="1344"/>
      <c r="H550" s="1345"/>
      <c r="I550" s="48" t="s">
        <v>449</v>
      </c>
      <c r="J550" s="48"/>
      <c r="K550" s="48"/>
      <c r="L550" s="48"/>
      <c r="M550" s="48"/>
      <c r="N550" s="48"/>
      <c r="O550" s="48"/>
      <c r="P550" s="48"/>
      <c r="Q550" s="48"/>
      <c r="R550" s="48"/>
      <c r="S550" s="48"/>
      <c r="T550" s="48"/>
      <c r="U550" s="48"/>
      <c r="V550" s="48"/>
      <c r="W550" s="48"/>
      <c r="X550" s="48"/>
      <c r="Y550" s="48"/>
      <c r="Z550" s="48"/>
      <c r="AA550" s="48"/>
      <c r="AB550" s="48"/>
      <c r="AC550" s="1315">
        <v>12</v>
      </c>
      <c r="AD550" s="1316"/>
      <c r="AE550" s="1316"/>
      <c r="AF550" s="1316"/>
      <c r="AG550" s="38" t="s">
        <v>401</v>
      </c>
      <c r="AH550" s="1318">
        <v>2029</v>
      </c>
      <c r="AI550" s="1318"/>
      <c r="AJ550" s="1318"/>
      <c r="AK550" s="1319"/>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586" t="s">
        <v>541</v>
      </c>
      <c r="B552" s="1586"/>
      <c r="C552" s="1586"/>
      <c r="D552" s="1586"/>
      <c r="E552" s="1586"/>
      <c r="F552" s="1586"/>
      <c r="G552" s="1586"/>
      <c r="H552" s="1586"/>
      <c r="I552" s="1586"/>
      <c r="J552" s="1586"/>
      <c r="K552" s="1586"/>
      <c r="L552" s="1586"/>
      <c r="M552" s="1586"/>
      <c r="N552" s="1586"/>
      <c r="O552" s="1586"/>
      <c r="P552" s="1586"/>
      <c r="Q552" s="1586"/>
      <c r="R552" s="1586"/>
      <c r="S552" s="1586"/>
      <c r="T552" s="1586"/>
      <c r="U552" s="1586"/>
      <c r="V552" s="1586"/>
      <c r="W552" s="1586"/>
      <c r="X552" s="1586"/>
      <c r="Y552" s="1586"/>
      <c r="Z552" s="1586"/>
      <c r="AA552" s="1586"/>
      <c r="AB552" s="1586"/>
      <c r="AC552" s="1586"/>
      <c r="AD552" s="1586"/>
      <c r="AE552" s="1586"/>
      <c r="AF552" s="1586"/>
      <c r="AG552" s="1586"/>
      <c r="AH552" s="1586"/>
      <c r="AI552" s="1586"/>
      <c r="AJ552" s="1586"/>
      <c r="AK552" s="1586"/>
      <c r="AL552" s="1586"/>
      <c r="AM552" s="1586"/>
      <c r="AN552" s="1586"/>
      <c r="AO552" s="1586"/>
      <c r="AP552" s="1586"/>
      <c r="AQ552" s="1586"/>
      <c r="AR552" s="1586"/>
      <c r="AS552" s="1586"/>
      <c r="AT552" s="158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586"/>
      <c r="B553" s="1586"/>
      <c r="C553" s="1586"/>
      <c r="D553" s="1586"/>
      <c r="E553" s="1586"/>
      <c r="F553" s="1586"/>
      <c r="G553" s="1586"/>
      <c r="H553" s="1586"/>
      <c r="I553" s="1586"/>
      <c r="J553" s="1586"/>
      <c r="K553" s="1586"/>
      <c r="L553" s="1586"/>
      <c r="M553" s="1586"/>
      <c r="N553" s="1586"/>
      <c r="O553" s="1586"/>
      <c r="P553" s="1586"/>
      <c r="Q553" s="1586"/>
      <c r="R553" s="1586"/>
      <c r="S553" s="1586"/>
      <c r="T553" s="1586"/>
      <c r="U553" s="1586"/>
      <c r="V553" s="1586"/>
      <c r="W553" s="1586"/>
      <c r="X553" s="1586"/>
      <c r="Y553" s="1586"/>
      <c r="Z553" s="1586"/>
      <c r="AA553" s="1586"/>
      <c r="AB553" s="1586"/>
      <c r="AC553" s="1586"/>
      <c r="AD553" s="1586"/>
      <c r="AE553" s="1586"/>
      <c r="AF553" s="1586"/>
      <c r="AG553" s="1586"/>
      <c r="AH553" s="1586"/>
      <c r="AI553" s="1586"/>
      <c r="AJ553" s="1586"/>
      <c r="AK553" s="1586"/>
      <c r="AL553" s="1586"/>
      <c r="AM553" s="1586"/>
      <c r="AN553" s="1586"/>
      <c r="AO553" s="1586"/>
      <c r="AP553" s="1586"/>
      <c r="AQ553" s="1586"/>
      <c r="AR553" s="1586"/>
      <c r="AS553" s="1586"/>
      <c r="AT553" s="158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450</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2053</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37" t="s">
        <v>2055</v>
      </c>
      <c r="C559" s="1338"/>
      <c r="D559" s="1338"/>
      <c r="E559" s="1338"/>
      <c r="F559" s="1338"/>
      <c r="G559" s="1338"/>
      <c r="H559" s="1338"/>
      <c r="I559" s="1338"/>
      <c r="J559" s="1338"/>
      <c r="K559" s="1338"/>
      <c r="L559" s="1339"/>
      <c r="M559" s="1337" t="s">
        <v>2056</v>
      </c>
      <c r="N559" s="1338"/>
      <c r="O559" s="1338"/>
      <c r="P559" s="1339"/>
      <c r="Q559" s="1337" t="s">
        <v>2082</v>
      </c>
      <c r="R559" s="1338"/>
      <c r="S559" s="1339"/>
      <c r="T559" s="1337" t="s">
        <v>2083</v>
      </c>
      <c r="U559" s="1338"/>
      <c r="V559" s="1339"/>
      <c r="W559" s="1337" t="s">
        <v>451</v>
      </c>
      <c r="X559" s="1338"/>
      <c r="Y559" s="1339"/>
      <c r="Z559" s="1337" t="s">
        <v>1825</v>
      </c>
      <c r="AA559" s="1338"/>
      <c r="AB559" s="1338"/>
      <c r="AC559" s="1338"/>
      <c r="AD559" s="1339"/>
      <c r="AE559" s="1337" t="s">
        <v>1663</v>
      </c>
      <c r="AF559" s="1338"/>
      <c r="AG559" s="1338"/>
      <c r="AH559" s="1339"/>
      <c r="AI559" s="1337" t="s">
        <v>1664</v>
      </c>
      <c r="AJ559" s="1338"/>
      <c r="AK559" s="1338"/>
      <c r="AL559" s="1339"/>
      <c r="AM559" s="1337" t="s">
        <v>452</v>
      </c>
      <c r="AN559" s="1338"/>
      <c r="AO559" s="1338"/>
      <c r="AP559" s="1338"/>
      <c r="AQ559" s="1338"/>
      <c r="AR559" s="1338"/>
      <c r="AS559" s="1339"/>
      <c r="BB559" s="3"/>
      <c r="BC559" s="3"/>
      <c r="BD559" s="3"/>
      <c r="BE559" s="3"/>
      <c r="BF559" s="3"/>
      <c r="BG559" s="3"/>
      <c r="BH559" s="3" t="s">
        <v>579</v>
      </c>
      <c r="BI559" s="3" t="str">
        <f>AG665</f>
        <v>Yes</v>
      </c>
    </row>
    <row r="560" spans="1:66" ht="12.95" customHeight="1">
      <c r="B560" s="1340"/>
      <c r="C560" s="1341"/>
      <c r="D560" s="1341"/>
      <c r="E560" s="1341"/>
      <c r="F560" s="1341"/>
      <c r="G560" s="1341"/>
      <c r="H560" s="1341"/>
      <c r="I560" s="1341"/>
      <c r="J560" s="1341"/>
      <c r="K560" s="1341"/>
      <c r="L560" s="1342"/>
      <c r="M560" s="1340"/>
      <c r="N560" s="1341"/>
      <c r="O560" s="1341"/>
      <c r="P560" s="1342"/>
      <c r="Q560" s="1340"/>
      <c r="R560" s="1341"/>
      <c r="S560" s="1342"/>
      <c r="T560" s="1340"/>
      <c r="U560" s="1341"/>
      <c r="V560" s="1342"/>
      <c r="W560" s="1340"/>
      <c r="X560" s="1341"/>
      <c r="Y560" s="1342"/>
      <c r="Z560" s="1340"/>
      <c r="AA560" s="1341"/>
      <c r="AB560" s="1341"/>
      <c r="AC560" s="1341"/>
      <c r="AD560" s="1342"/>
      <c r="AE560" s="1340"/>
      <c r="AF560" s="1341"/>
      <c r="AG560" s="1341"/>
      <c r="AH560" s="1342"/>
      <c r="AI560" s="1340"/>
      <c r="AJ560" s="1341"/>
      <c r="AK560" s="1341"/>
      <c r="AL560" s="1342"/>
      <c r="AM560" s="1340"/>
      <c r="AN560" s="1341"/>
      <c r="AO560" s="1341"/>
      <c r="AP560" s="1341"/>
      <c r="AQ560" s="1341"/>
      <c r="AR560" s="1341"/>
      <c r="AS560" s="1342"/>
      <c r="AU560" s="1141"/>
      <c r="BB560" s="3"/>
      <c r="BC560" s="3"/>
      <c r="BD560" s="3"/>
      <c r="BE560" s="3"/>
      <c r="BF560" s="3"/>
      <c r="BG560" s="3"/>
      <c r="BH560" s="3"/>
      <c r="BI560" s="3"/>
    </row>
    <row r="561" spans="1:61" ht="12.95" customHeight="1">
      <c r="B561" s="1343"/>
      <c r="C561" s="1344"/>
      <c r="D561" s="1344"/>
      <c r="E561" s="1344"/>
      <c r="F561" s="1344"/>
      <c r="G561" s="1344"/>
      <c r="H561" s="1344"/>
      <c r="I561" s="1344"/>
      <c r="J561" s="1344"/>
      <c r="K561" s="1344"/>
      <c r="L561" s="1345"/>
      <c r="M561" s="1343"/>
      <c r="N561" s="1344"/>
      <c r="O561" s="1344"/>
      <c r="P561" s="1345"/>
      <c r="Q561" s="1343"/>
      <c r="R561" s="1344"/>
      <c r="S561" s="1345"/>
      <c r="T561" s="1343"/>
      <c r="U561" s="1344"/>
      <c r="V561" s="1345"/>
      <c r="W561" s="1343"/>
      <c r="X561" s="1344"/>
      <c r="Y561" s="1345"/>
      <c r="Z561" s="1343"/>
      <c r="AA561" s="1344"/>
      <c r="AB561" s="1344"/>
      <c r="AC561" s="1344"/>
      <c r="AD561" s="1345"/>
      <c r="AE561" s="1343"/>
      <c r="AF561" s="1344"/>
      <c r="AG561" s="1344"/>
      <c r="AH561" s="1345"/>
      <c r="AI561" s="1343"/>
      <c r="AJ561" s="1344"/>
      <c r="AK561" s="1344"/>
      <c r="AL561" s="1345"/>
      <c r="AM561" s="1343"/>
      <c r="AN561" s="1344"/>
      <c r="AO561" s="1344"/>
      <c r="AP561" s="1344"/>
      <c r="AQ561" s="1344"/>
      <c r="AR561" s="1344"/>
      <c r="AS561" s="1345"/>
      <c r="AU561" s="1141"/>
      <c r="BB561" s="3"/>
      <c r="BC561" s="3"/>
      <c r="BD561" s="3"/>
      <c r="BE561" s="3"/>
      <c r="BF561" s="3"/>
      <c r="BG561" s="3"/>
      <c r="BH561" s="3"/>
      <c r="BI561" s="3"/>
    </row>
    <row r="562" spans="1:61" ht="12.95" customHeight="1">
      <c r="B562" s="51" t="s">
        <v>112</v>
      </c>
      <c r="C562" s="1356" t="s">
        <v>2696</v>
      </c>
      <c r="D562" s="1356"/>
      <c r="E562" s="1356"/>
      <c r="F562" s="1356"/>
      <c r="G562" s="1356"/>
      <c r="H562" s="1356"/>
      <c r="I562" s="1356"/>
      <c r="J562" s="1356"/>
      <c r="K562" s="1356"/>
      <c r="L562" s="1356"/>
      <c r="M562" s="1356" t="s">
        <v>2072</v>
      </c>
      <c r="N562" s="1356"/>
      <c r="O562" s="1356"/>
      <c r="P562" s="1356"/>
      <c r="Q562" s="1354">
        <v>36</v>
      </c>
      <c r="R562" s="1354"/>
      <c r="S562" s="1355"/>
      <c r="T562" s="1353">
        <v>36</v>
      </c>
      <c r="U562" s="1354"/>
      <c r="V562" s="1355"/>
      <c r="W562" s="1358">
        <v>6.25E-2</v>
      </c>
      <c r="X562" s="1359"/>
      <c r="Y562" s="1360"/>
      <c r="Z562" s="1317" t="s">
        <v>2728</v>
      </c>
      <c r="AA562" s="1317"/>
      <c r="AB562" s="1317"/>
      <c r="AC562" s="1317"/>
      <c r="AD562" s="1317"/>
      <c r="AE562" s="1361">
        <v>1</v>
      </c>
      <c r="AF562" s="1362"/>
      <c r="AG562" s="1362"/>
      <c r="AH562" s="1363"/>
      <c r="AI562" s="1403"/>
      <c r="AJ562" s="1404"/>
      <c r="AK562" s="1404"/>
      <c r="AL562" s="1405"/>
      <c r="AM562" s="1367">
        <v>30800000</v>
      </c>
      <c r="AN562" s="1368"/>
      <c r="AO562" s="1368"/>
      <c r="AP562" s="1368"/>
      <c r="AQ562" s="1368"/>
      <c r="AR562" s="1368"/>
      <c r="AS562" s="1369"/>
      <c r="AT562" s="1142"/>
      <c r="AU562" s="1141"/>
      <c r="BB562" s="3"/>
      <c r="BC562" s="3"/>
      <c r="BD562" s="3"/>
      <c r="BE562" s="3"/>
      <c r="BF562" s="3"/>
      <c r="BG562" s="3"/>
      <c r="BH562" s="3"/>
      <c r="BI562" s="3"/>
    </row>
    <row r="563" spans="1:61" ht="12.95" customHeight="1">
      <c r="B563" s="52" t="s">
        <v>113</v>
      </c>
      <c r="C563" s="1357" t="s">
        <v>2696</v>
      </c>
      <c r="D563" s="1357"/>
      <c r="E563" s="1357"/>
      <c r="F563" s="1357"/>
      <c r="G563" s="1357"/>
      <c r="H563" s="1357"/>
      <c r="I563" s="1357"/>
      <c r="J563" s="1357"/>
      <c r="K563" s="1357"/>
      <c r="L563" s="1357"/>
      <c r="M563" s="1356" t="s">
        <v>2073</v>
      </c>
      <c r="N563" s="1356"/>
      <c r="O563" s="1356"/>
      <c r="P563" s="1356"/>
      <c r="Q563" s="1353">
        <v>36</v>
      </c>
      <c r="R563" s="1354"/>
      <c r="S563" s="1355"/>
      <c r="T563" s="1353">
        <v>36</v>
      </c>
      <c r="U563" s="1354"/>
      <c r="V563" s="1355"/>
      <c r="W563" s="1358">
        <v>6.25E-2</v>
      </c>
      <c r="X563" s="1359"/>
      <c r="Y563" s="1360"/>
      <c r="Z563" s="1317" t="s">
        <v>2728</v>
      </c>
      <c r="AA563" s="1317"/>
      <c r="AB563" s="1317"/>
      <c r="AC563" s="1317"/>
      <c r="AD563" s="1317"/>
      <c r="AE563" s="1361">
        <v>1</v>
      </c>
      <c r="AF563" s="1362"/>
      <c r="AG563" s="1362"/>
      <c r="AH563" s="1363"/>
      <c r="AI563" s="1403"/>
      <c r="AJ563" s="1404"/>
      <c r="AK563" s="1404"/>
      <c r="AL563" s="1405"/>
      <c r="AM563" s="1367">
        <v>3000000</v>
      </c>
      <c r="AN563" s="1368"/>
      <c r="AO563" s="1368"/>
      <c r="AP563" s="1368"/>
      <c r="AQ563" s="1368"/>
      <c r="AR563" s="1368"/>
      <c r="AS563" s="1369"/>
      <c r="AT563" s="1142" t="str">
        <f>IF(AND(NOT(C562=""),C563="",NOT(C564="")),"!","")</f>
        <v/>
      </c>
      <c r="AU563" s="1141"/>
      <c r="BB563" s="3"/>
      <c r="BC563" s="3"/>
      <c r="BD563" s="3"/>
      <c r="BE563" s="3"/>
      <c r="BF563" s="3"/>
      <c r="BG563" s="3"/>
      <c r="BH563" s="3"/>
      <c r="BI563" s="3"/>
    </row>
    <row r="564" spans="1:61" ht="12.95" customHeight="1">
      <c r="B564" s="52" t="s">
        <v>119</v>
      </c>
      <c r="C564" s="1357" t="s">
        <v>2757</v>
      </c>
      <c r="D564" s="1357"/>
      <c r="E564" s="1357"/>
      <c r="F564" s="1357"/>
      <c r="G564" s="1357"/>
      <c r="H564" s="1357"/>
      <c r="I564" s="1357"/>
      <c r="J564" s="1357"/>
      <c r="K564" s="1357"/>
      <c r="L564" s="1357"/>
      <c r="M564" s="1356" t="s">
        <v>2073</v>
      </c>
      <c r="N564" s="1356"/>
      <c r="O564" s="1356"/>
      <c r="P564" s="1356"/>
      <c r="Q564" s="1353">
        <v>36</v>
      </c>
      <c r="R564" s="1354"/>
      <c r="S564" s="1355"/>
      <c r="T564" s="1353">
        <v>36</v>
      </c>
      <c r="U564" s="1354"/>
      <c r="V564" s="1355"/>
      <c r="W564" s="1358">
        <v>0.08</v>
      </c>
      <c r="X564" s="1359"/>
      <c r="Y564" s="1360"/>
      <c r="Z564" s="1317" t="s">
        <v>2647</v>
      </c>
      <c r="AA564" s="1317"/>
      <c r="AB564" s="1317"/>
      <c r="AC564" s="1317"/>
      <c r="AD564" s="1317"/>
      <c r="AE564" s="1361">
        <v>3</v>
      </c>
      <c r="AF564" s="1362"/>
      <c r="AG564" s="1362"/>
      <c r="AH564" s="1363"/>
      <c r="AI564" s="1403"/>
      <c r="AJ564" s="1404"/>
      <c r="AK564" s="1404"/>
      <c r="AL564" s="1405"/>
      <c r="AM564" s="1367">
        <v>7000000</v>
      </c>
      <c r="AN564" s="1368"/>
      <c r="AO564" s="1368"/>
      <c r="AP564" s="1368"/>
      <c r="AQ564" s="1368"/>
      <c r="AR564" s="1368"/>
      <c r="AS564" s="1369"/>
      <c r="AT564" s="1142" t="str">
        <f>IF(AND(NOT(C563=""),C564="",NOT(C565="")),"!","")</f>
        <v/>
      </c>
      <c r="AU564" s="1141"/>
      <c r="BB564" s="3"/>
      <c r="BC564" s="3"/>
      <c r="BD564" s="3"/>
      <c r="BE564" s="3"/>
      <c r="BF564" s="3"/>
      <c r="BG564" s="3"/>
      <c r="BH564" s="3"/>
      <c r="BI564" s="3"/>
    </row>
    <row r="565" spans="1:61" ht="12.95" customHeight="1">
      <c r="B565" s="52" t="s">
        <v>579</v>
      </c>
      <c r="C565" s="1357" t="s">
        <v>2696</v>
      </c>
      <c r="D565" s="1357"/>
      <c r="E565" s="1357"/>
      <c r="F565" s="1357"/>
      <c r="G565" s="1357"/>
      <c r="H565" s="1357"/>
      <c r="I565" s="1357"/>
      <c r="J565" s="1357"/>
      <c r="K565" s="1357"/>
      <c r="L565" s="1357"/>
      <c r="M565" s="1356" t="s">
        <v>2071</v>
      </c>
      <c r="N565" s="1356"/>
      <c r="O565" s="1356"/>
      <c r="P565" s="1356"/>
      <c r="Q565" s="1353">
        <v>36</v>
      </c>
      <c r="R565" s="1354"/>
      <c r="S565" s="1355"/>
      <c r="T565" s="1353">
        <v>36</v>
      </c>
      <c r="U565" s="1354"/>
      <c r="V565" s="1355"/>
      <c r="W565" s="1358">
        <v>6.25E-2</v>
      </c>
      <c r="X565" s="1359"/>
      <c r="Y565" s="1360"/>
      <c r="Z565" s="1317" t="s">
        <v>2728</v>
      </c>
      <c r="AA565" s="1317"/>
      <c r="AB565" s="1317"/>
      <c r="AC565" s="1317"/>
      <c r="AD565" s="1317"/>
      <c r="AE565" s="1361">
        <v>2</v>
      </c>
      <c r="AF565" s="1362"/>
      <c r="AG565" s="1362"/>
      <c r="AH565" s="1363"/>
      <c r="AI565" s="1403"/>
      <c r="AJ565" s="1404"/>
      <c r="AK565" s="1404"/>
      <c r="AL565" s="1405"/>
      <c r="AM565" s="1367">
        <v>49489244</v>
      </c>
      <c r="AN565" s="1368"/>
      <c r="AO565" s="1368"/>
      <c r="AP565" s="1368"/>
      <c r="AQ565" s="1368"/>
      <c r="AR565" s="1368"/>
      <c r="AS565" s="1369"/>
      <c r="AT565" s="1142" t="str">
        <f>IF(AND(NOT(C564=""),C565="",NOT(C566="")),"!","")</f>
        <v/>
      </c>
      <c r="AU565" s="1141"/>
      <c r="BB565" s="3"/>
      <c r="BC565" s="3"/>
      <c r="BD565" s="3"/>
      <c r="BE565" s="3"/>
      <c r="BF565" s="3"/>
      <c r="BG565" s="3"/>
      <c r="BH565" s="3"/>
      <c r="BI565" s="3"/>
    </row>
    <row r="566" spans="1:61" ht="12.95" customHeight="1">
      <c r="B566" s="52" t="s">
        <v>761</v>
      </c>
      <c r="C566" s="1357" t="s">
        <v>2696</v>
      </c>
      <c r="D566" s="1357"/>
      <c r="E566" s="1357"/>
      <c r="F566" s="1357"/>
      <c r="G566" s="1357"/>
      <c r="H566" s="1357"/>
      <c r="I566" s="1357"/>
      <c r="J566" s="1357"/>
      <c r="K566" s="1357"/>
      <c r="L566" s="1357"/>
      <c r="M566" s="1356" t="s">
        <v>2063</v>
      </c>
      <c r="N566" s="1356"/>
      <c r="O566" s="1356"/>
      <c r="P566" s="1356"/>
      <c r="Q566" s="1353"/>
      <c r="R566" s="1354"/>
      <c r="S566" s="1355"/>
      <c r="T566" s="1353"/>
      <c r="U566" s="1354"/>
      <c r="V566" s="1355"/>
      <c r="W566" s="1358"/>
      <c r="X566" s="1359"/>
      <c r="Y566" s="1360"/>
      <c r="Z566" s="1317" t="s">
        <v>589</v>
      </c>
      <c r="AA566" s="1317"/>
      <c r="AB566" s="1317"/>
      <c r="AC566" s="1317"/>
      <c r="AD566" s="1317"/>
      <c r="AE566" s="1361"/>
      <c r="AF566" s="1362"/>
      <c r="AG566" s="1362"/>
      <c r="AH566" s="1363"/>
      <c r="AI566" s="1403"/>
      <c r="AJ566" s="1404"/>
      <c r="AK566" s="1404"/>
      <c r="AL566" s="1405"/>
      <c r="AM566" s="1367">
        <v>5706443</v>
      </c>
      <c r="AN566" s="1368"/>
      <c r="AO566" s="1368"/>
      <c r="AP566" s="1368"/>
      <c r="AQ566" s="1368"/>
      <c r="AR566" s="1368"/>
      <c r="AS566" s="1369"/>
      <c r="AT566" s="1142" t="str">
        <f t="shared" ref="AT566:AT573" si="2">IF(AND(NOT(C565=""),C566="",NOT(C567="")),"!","")</f>
        <v/>
      </c>
      <c r="AU566" s="1141"/>
      <c r="BB566" s="3"/>
      <c r="BC566" s="3"/>
      <c r="BD566" s="3"/>
      <c r="BE566" s="3"/>
      <c r="BF566" s="3"/>
      <c r="BG566" s="3"/>
      <c r="BH566" s="3" t="s">
        <v>761</v>
      </c>
      <c r="BI566" s="3" t="str">
        <f>N673</f>
        <v>Yes</v>
      </c>
    </row>
    <row r="567" spans="1:61" ht="12.95" customHeight="1">
      <c r="B567" s="52" t="s">
        <v>582</v>
      </c>
      <c r="C567" s="1357" t="s">
        <v>2649</v>
      </c>
      <c r="D567" s="1357"/>
      <c r="E567" s="1357"/>
      <c r="F567" s="1357"/>
      <c r="G567" s="1357"/>
      <c r="H567" s="1357"/>
      <c r="I567" s="1357"/>
      <c r="J567" s="1357"/>
      <c r="K567" s="1357"/>
      <c r="L567" s="1357"/>
      <c r="M567" s="1356" t="s">
        <v>2058</v>
      </c>
      <c r="N567" s="1356"/>
      <c r="O567" s="1356"/>
      <c r="P567" s="1356"/>
      <c r="Q567" s="1353"/>
      <c r="R567" s="1354"/>
      <c r="S567" s="1355"/>
      <c r="T567" s="1353"/>
      <c r="U567" s="1354"/>
      <c r="V567" s="1355"/>
      <c r="W567" s="1358"/>
      <c r="X567" s="1359"/>
      <c r="Y567" s="1360"/>
      <c r="Z567" s="1317" t="s">
        <v>589</v>
      </c>
      <c r="AA567" s="1317"/>
      <c r="AB567" s="1317"/>
      <c r="AC567" s="1317"/>
      <c r="AD567" s="1317"/>
      <c r="AE567" s="1361"/>
      <c r="AF567" s="1362"/>
      <c r="AG567" s="1362"/>
      <c r="AH567" s="1363"/>
      <c r="AI567" s="1403"/>
      <c r="AJ567" s="1404"/>
      <c r="AK567" s="1404"/>
      <c r="AL567" s="1405"/>
      <c r="AM567" s="1367">
        <f>7870630+5707</f>
        <v>7876337</v>
      </c>
      <c r="AN567" s="1368"/>
      <c r="AO567" s="1368"/>
      <c r="AP567" s="1368"/>
      <c r="AQ567" s="1368"/>
      <c r="AR567" s="1368"/>
      <c r="AS567" s="1369"/>
      <c r="AT567" s="1142" t="str">
        <f t="shared" si="2"/>
        <v/>
      </c>
      <c r="AU567" s="1141"/>
      <c r="BB567" s="3"/>
      <c r="BC567" s="3"/>
      <c r="BD567" s="3"/>
      <c r="BE567" s="3"/>
      <c r="BF567" s="3"/>
      <c r="BG567" s="3"/>
      <c r="BH567" s="3" t="s">
        <v>582</v>
      </c>
      <c r="BI567" s="3" t="str">
        <f>AG673</f>
        <v>Yes</v>
      </c>
    </row>
    <row r="568" spans="1:61" ht="12.95" customHeight="1">
      <c r="B568" s="52" t="s">
        <v>453</v>
      </c>
      <c r="C568" s="1357" t="s">
        <v>2648</v>
      </c>
      <c r="D568" s="1357"/>
      <c r="E568" s="1357"/>
      <c r="F568" s="1357"/>
      <c r="G568" s="1357"/>
      <c r="H568" s="1357"/>
      <c r="I568" s="1357"/>
      <c r="J568" s="1357"/>
      <c r="K568" s="1357"/>
      <c r="L568" s="1357"/>
      <c r="M568" s="1356" t="s">
        <v>2075</v>
      </c>
      <c r="N568" s="1356"/>
      <c r="O568" s="1356"/>
      <c r="P568" s="1356"/>
      <c r="Q568" s="1353"/>
      <c r="R568" s="1354"/>
      <c r="S568" s="1355"/>
      <c r="T568" s="1353"/>
      <c r="U568" s="1354"/>
      <c r="V568" s="1355"/>
      <c r="W568" s="1358"/>
      <c r="X568" s="1359"/>
      <c r="Y568" s="1360"/>
      <c r="Z568" s="1317" t="s">
        <v>589</v>
      </c>
      <c r="AA568" s="1317"/>
      <c r="AB568" s="1317"/>
      <c r="AC568" s="1317"/>
      <c r="AD568" s="1317"/>
      <c r="AE568" s="1361"/>
      <c r="AF568" s="1362"/>
      <c r="AG568" s="1362"/>
      <c r="AH568" s="1363"/>
      <c r="AI568" s="1403"/>
      <c r="AJ568" s="1404"/>
      <c r="AK568" s="1404"/>
      <c r="AL568" s="1405"/>
      <c r="AM568" s="1367">
        <v>1652933</v>
      </c>
      <c r="AN568" s="1368"/>
      <c r="AO568" s="1368"/>
      <c r="AP568" s="1368"/>
      <c r="AQ568" s="1368"/>
      <c r="AR568" s="1368"/>
      <c r="AS568" s="1369"/>
      <c r="AT568" s="1142" t="str">
        <f t="shared" si="2"/>
        <v/>
      </c>
      <c r="AU568" s="1141"/>
      <c r="BB568" s="3"/>
      <c r="BC568" s="3"/>
      <c r="BD568" s="3"/>
      <c r="BE568" s="3"/>
      <c r="BF568" s="3"/>
      <c r="BG568" s="3"/>
      <c r="BH568" s="3"/>
      <c r="BI568" s="3"/>
    </row>
    <row r="569" spans="1:61" ht="12.95" customHeight="1">
      <c r="B569" s="52" t="s">
        <v>454</v>
      </c>
      <c r="C569" s="1357" t="s">
        <v>2259</v>
      </c>
      <c r="D569" s="1357"/>
      <c r="E569" s="1357"/>
      <c r="F569" s="1357"/>
      <c r="G569" s="1357"/>
      <c r="H569" s="1357"/>
      <c r="I569" s="1357"/>
      <c r="J569" s="1357"/>
      <c r="K569" s="1357"/>
      <c r="L569" s="1357"/>
      <c r="M569" s="1356" t="s">
        <v>2059</v>
      </c>
      <c r="N569" s="1356"/>
      <c r="O569" s="1356"/>
      <c r="P569" s="1356"/>
      <c r="Q569" s="1353">
        <v>180</v>
      </c>
      <c r="R569" s="1354"/>
      <c r="S569" s="1355"/>
      <c r="T569" s="1353">
        <v>180</v>
      </c>
      <c r="U569" s="1354"/>
      <c r="V569" s="1355"/>
      <c r="W569" s="1358">
        <v>0.08</v>
      </c>
      <c r="X569" s="1359"/>
      <c r="Y569" s="1360"/>
      <c r="Z569" s="1317" t="s">
        <v>589</v>
      </c>
      <c r="AA569" s="1317"/>
      <c r="AB569" s="1317"/>
      <c r="AC569" s="1317"/>
      <c r="AD569" s="1317"/>
      <c r="AE569" s="1361"/>
      <c r="AF569" s="1362"/>
      <c r="AG569" s="1362"/>
      <c r="AH569" s="1363"/>
      <c r="AI569" s="1403"/>
      <c r="AJ569" s="1404"/>
      <c r="AK569" s="1404"/>
      <c r="AL569" s="1405"/>
      <c r="AM569" s="1367">
        <v>11901118</v>
      </c>
      <c r="AN569" s="1368"/>
      <c r="AO569" s="1368"/>
      <c r="AP569" s="1368"/>
      <c r="AQ569" s="1368"/>
      <c r="AR569" s="1368"/>
      <c r="AS569" s="1369"/>
      <c r="AT569" s="1142" t="str">
        <f t="shared" si="2"/>
        <v/>
      </c>
      <c r="AU569" s="1141"/>
      <c r="BB569" s="3"/>
      <c r="BC569" s="3"/>
      <c r="BD569" s="3"/>
      <c r="BE569" s="3"/>
      <c r="BF569" s="3"/>
      <c r="BG569" s="3"/>
      <c r="BH569" s="3"/>
      <c r="BI569" s="3"/>
    </row>
    <row r="570" spans="1:61" ht="12.95" customHeight="1">
      <c r="B570" s="52" t="s">
        <v>459</v>
      </c>
      <c r="C570" s="1357"/>
      <c r="D570" s="1357"/>
      <c r="E570" s="1357"/>
      <c r="F570" s="1357"/>
      <c r="G570" s="1357"/>
      <c r="H570" s="1357"/>
      <c r="I570" s="1357"/>
      <c r="J570" s="1357"/>
      <c r="K570" s="1357"/>
      <c r="L570" s="1357"/>
      <c r="M570" s="1356" t="s">
        <v>1182</v>
      </c>
      <c r="N570" s="1356"/>
      <c r="O570" s="1356"/>
      <c r="P570" s="1356"/>
      <c r="Q570" s="1353"/>
      <c r="R570" s="1354"/>
      <c r="S570" s="1355"/>
      <c r="T570" s="1353"/>
      <c r="U570" s="1354"/>
      <c r="V570" s="1355"/>
      <c r="W570" s="1358"/>
      <c r="X570" s="1359"/>
      <c r="Y570" s="1360"/>
      <c r="Z570" s="1317" t="s">
        <v>1182</v>
      </c>
      <c r="AA570" s="1317"/>
      <c r="AB570" s="1317"/>
      <c r="AC570" s="1317"/>
      <c r="AD570" s="1317"/>
      <c r="AE570" s="1361"/>
      <c r="AF570" s="1362"/>
      <c r="AG570" s="1362"/>
      <c r="AH570" s="1363"/>
      <c r="AI570" s="1403"/>
      <c r="AJ570" s="1404"/>
      <c r="AK570" s="1404"/>
      <c r="AL570" s="1405"/>
      <c r="AM570" s="1367"/>
      <c r="AN570" s="1368"/>
      <c r="AO570" s="1368"/>
      <c r="AP570" s="1368"/>
      <c r="AQ570" s="1368"/>
      <c r="AR570" s="1368"/>
      <c r="AS570" s="1369"/>
      <c r="AT570" s="1142" t="str">
        <f t="shared" si="2"/>
        <v/>
      </c>
      <c r="AU570" s="1141"/>
      <c r="BB570" s="3"/>
      <c r="BC570" s="3"/>
      <c r="BD570" s="3"/>
      <c r="BE570" s="3"/>
      <c r="BF570" s="3"/>
      <c r="BG570" s="3"/>
      <c r="BH570" s="3"/>
      <c r="BI570" s="3"/>
    </row>
    <row r="571" spans="1:61" ht="12.95" customHeight="1">
      <c r="B571" s="52" t="s">
        <v>644</v>
      </c>
      <c r="C571" s="1357"/>
      <c r="D571" s="1357"/>
      <c r="E571" s="1357"/>
      <c r="F571" s="1357"/>
      <c r="G571" s="1357"/>
      <c r="H571" s="1357"/>
      <c r="I571" s="1357"/>
      <c r="J571" s="1357"/>
      <c r="K571" s="1357"/>
      <c r="L571" s="1357"/>
      <c r="M571" s="1356" t="s">
        <v>1182</v>
      </c>
      <c r="N571" s="1356"/>
      <c r="O571" s="1356"/>
      <c r="P571" s="1356"/>
      <c r="Q571" s="1353"/>
      <c r="R571" s="1354"/>
      <c r="S571" s="1355"/>
      <c r="T571" s="1353"/>
      <c r="U571" s="1354"/>
      <c r="V571" s="1355"/>
      <c r="W571" s="1358"/>
      <c r="X571" s="1359"/>
      <c r="Y571" s="1360"/>
      <c r="Z571" s="1317" t="s">
        <v>1182</v>
      </c>
      <c r="AA571" s="1317"/>
      <c r="AB571" s="1317"/>
      <c r="AC571" s="1317"/>
      <c r="AD571" s="1317"/>
      <c r="AE571" s="1361"/>
      <c r="AF571" s="1362"/>
      <c r="AG571" s="1362"/>
      <c r="AH571" s="1363"/>
      <c r="AI571" s="1403"/>
      <c r="AJ571" s="1404"/>
      <c r="AK571" s="1404"/>
      <c r="AL571" s="1405"/>
      <c r="AM571" s="1367"/>
      <c r="AN571" s="1368"/>
      <c r="AO571" s="1368"/>
      <c r="AP571" s="1368"/>
      <c r="AQ571" s="1368"/>
      <c r="AR571" s="1368"/>
      <c r="AS571" s="1369"/>
      <c r="AT571" s="1142" t="str">
        <f t="shared" si="2"/>
        <v/>
      </c>
      <c r="BB571" s="3"/>
      <c r="BC571" s="3"/>
      <c r="BD571" s="3"/>
      <c r="BE571" s="3"/>
      <c r="BF571" s="3"/>
      <c r="BG571" s="3"/>
      <c r="BH571" s="3"/>
      <c r="BI571" s="3"/>
    </row>
    <row r="572" spans="1:61" ht="12.95" customHeight="1">
      <c r="B572" s="52" t="s">
        <v>360</v>
      </c>
      <c r="C572" s="1357"/>
      <c r="D572" s="1357"/>
      <c r="E572" s="1357"/>
      <c r="F572" s="1357"/>
      <c r="G572" s="1357"/>
      <c r="H572" s="1357"/>
      <c r="I572" s="1357"/>
      <c r="J572" s="1357"/>
      <c r="K572" s="1357"/>
      <c r="L572" s="1357"/>
      <c r="M572" s="1356" t="s">
        <v>1182</v>
      </c>
      <c r="N572" s="1356"/>
      <c r="O572" s="1356"/>
      <c r="P572" s="1356"/>
      <c r="Q572" s="1353"/>
      <c r="R572" s="1354"/>
      <c r="S572" s="1355"/>
      <c r="T572" s="1353"/>
      <c r="U572" s="1354"/>
      <c r="V572" s="1355"/>
      <c r="W572" s="1358"/>
      <c r="X572" s="1359"/>
      <c r="Y572" s="1360"/>
      <c r="Z572" s="1317" t="s">
        <v>1182</v>
      </c>
      <c r="AA572" s="1317"/>
      <c r="AB572" s="1317"/>
      <c r="AC572" s="1317"/>
      <c r="AD572" s="1317"/>
      <c r="AE572" s="1361"/>
      <c r="AF572" s="1362"/>
      <c r="AG572" s="1362"/>
      <c r="AH572" s="1363"/>
      <c r="AI572" s="1403"/>
      <c r="AJ572" s="1404"/>
      <c r="AK572" s="1404"/>
      <c r="AL572" s="1405"/>
      <c r="AM572" s="1367"/>
      <c r="AN572" s="1368"/>
      <c r="AO572" s="1368"/>
      <c r="AP572" s="1368"/>
      <c r="AQ572" s="1368"/>
      <c r="AR572" s="1368"/>
      <c r="AS572" s="1369"/>
      <c r="AT572" s="1142" t="str">
        <f t="shared" si="2"/>
        <v/>
      </c>
      <c r="BB572" s="3"/>
      <c r="BC572" s="3"/>
      <c r="BD572" s="3"/>
      <c r="BE572" s="3"/>
      <c r="BF572" s="3"/>
      <c r="BG572" s="3"/>
      <c r="BH572" s="3"/>
      <c r="BI572" s="3"/>
    </row>
    <row r="573" spans="1:61" ht="12.95" customHeight="1">
      <c r="B573" s="52" t="s">
        <v>361</v>
      </c>
      <c r="C573" s="1357"/>
      <c r="D573" s="1357"/>
      <c r="E573" s="1357"/>
      <c r="F573" s="1357"/>
      <c r="G573" s="1357"/>
      <c r="H573" s="1357"/>
      <c r="I573" s="1357"/>
      <c r="J573" s="1357"/>
      <c r="K573" s="1357"/>
      <c r="L573" s="1357"/>
      <c r="M573" s="1356" t="s">
        <v>1182</v>
      </c>
      <c r="N573" s="1356"/>
      <c r="O573" s="1356"/>
      <c r="P573" s="1356"/>
      <c r="Q573" s="1353"/>
      <c r="R573" s="1354"/>
      <c r="S573" s="1355"/>
      <c r="T573" s="1353"/>
      <c r="U573" s="1354"/>
      <c r="V573" s="1355"/>
      <c r="W573" s="1358"/>
      <c r="X573" s="1359"/>
      <c r="Y573" s="1360"/>
      <c r="Z573" s="1317" t="s">
        <v>1182</v>
      </c>
      <c r="AA573" s="1317"/>
      <c r="AB573" s="1317"/>
      <c r="AC573" s="1317"/>
      <c r="AD573" s="1317"/>
      <c r="AE573" s="1361"/>
      <c r="AF573" s="1362"/>
      <c r="AG573" s="1362"/>
      <c r="AH573" s="1363"/>
      <c r="AI573" s="1403"/>
      <c r="AJ573" s="1404"/>
      <c r="AK573" s="1404"/>
      <c r="AL573" s="1405"/>
      <c r="AM573" s="1367"/>
      <c r="AN573" s="1368"/>
      <c r="AO573" s="1368"/>
      <c r="AP573" s="1368"/>
      <c r="AQ573" s="1368"/>
      <c r="AR573" s="1368"/>
      <c r="AS573" s="1369"/>
      <c r="AT573" s="1142" t="str">
        <f t="shared" si="2"/>
        <v/>
      </c>
      <c r="BB573" s="3"/>
      <c r="BC573" s="3"/>
      <c r="BD573" s="3"/>
      <c r="BE573" s="3"/>
      <c r="BF573" s="3"/>
      <c r="BG573" s="3"/>
      <c r="BH573" s="3"/>
      <c r="BI573" s="3"/>
    </row>
    <row r="574" spans="1:61" ht="12.95" customHeight="1">
      <c r="B574" s="1399" t="s">
        <v>127</v>
      </c>
      <c r="C574" s="1400"/>
      <c r="D574" s="1400"/>
      <c r="E574" s="1400"/>
      <c r="F574" s="1400"/>
      <c r="G574" s="1400"/>
      <c r="H574" s="1400"/>
      <c r="I574" s="1400"/>
      <c r="J574" s="1400"/>
      <c r="K574" s="1400"/>
      <c r="L574" s="1400"/>
      <c r="M574" s="1400"/>
      <c r="N574" s="1400"/>
      <c r="O574" s="1400"/>
      <c r="P574" s="1400"/>
      <c r="Q574" s="1400"/>
      <c r="R574" s="1400"/>
      <c r="S574" s="1400"/>
      <c r="T574" s="1400"/>
      <c r="U574" s="1401"/>
      <c r="V574" s="1400"/>
      <c r="W574" s="1400"/>
      <c r="X574" s="1400"/>
      <c r="Y574" s="1400"/>
      <c r="Z574" s="1400"/>
      <c r="AA574" s="1400"/>
      <c r="AB574" s="1400"/>
      <c r="AC574" s="1400"/>
      <c r="AD574" s="1400"/>
      <c r="AE574" s="1400"/>
      <c r="AF574" s="1400"/>
      <c r="AG574" s="1400"/>
      <c r="AH574" s="1400"/>
      <c r="AI574" s="1400"/>
      <c r="AJ574" s="1400"/>
      <c r="AK574" s="1400"/>
      <c r="AL574" s="1402"/>
      <c r="AM574" s="1413">
        <f>SUM(AM562:AS573)</f>
        <v>117426075</v>
      </c>
      <c r="AN574" s="1414"/>
      <c r="AO574" s="1414"/>
      <c r="AP574" s="1414"/>
      <c r="AQ574" s="1414"/>
      <c r="AR574" s="1414"/>
      <c r="AS574" s="1415"/>
      <c r="BB574" s="3"/>
      <c r="BC574" s="3"/>
      <c r="BD574" s="3"/>
      <c r="BE574" s="3"/>
      <c r="BF574" s="3"/>
      <c r="BG574" s="3"/>
      <c r="BH574" s="3" t="s">
        <v>453</v>
      </c>
      <c r="BI574" s="3" t="str">
        <f>N681</f>
        <v>Yes</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454</v>
      </c>
      <c r="BI575" s="3" t="str">
        <f>AG681</f>
        <v>No</v>
      </c>
    </row>
    <row r="576" spans="1:61" ht="12.95" customHeight="1">
      <c r="A576" s="55" t="s">
        <v>112</v>
      </c>
      <c r="B576" t="s">
        <v>461</v>
      </c>
      <c r="G576" s="1296" t="str">
        <f>C562</f>
        <v>US. Bancorp Community Development Corporation</v>
      </c>
      <c r="H576" s="1296"/>
      <c r="I576" s="1296"/>
      <c r="J576" s="1296"/>
      <c r="K576" s="1296"/>
      <c r="L576" s="1296"/>
      <c r="M576" s="1296"/>
      <c r="N576" s="1296"/>
      <c r="O576" s="1296"/>
      <c r="P576" s="1296"/>
      <c r="Q576" s="1296"/>
      <c r="R576" s="1296"/>
      <c r="S576" s="8"/>
      <c r="T576" s="55" t="s">
        <v>113</v>
      </c>
      <c r="U576" t="s">
        <v>461</v>
      </c>
      <c r="Z576" s="1296" t="str">
        <f>C563</f>
        <v>US. Bancorp Community Development Corporation</v>
      </c>
      <c r="AA576" s="1296"/>
      <c r="AB576" s="1296"/>
      <c r="AC576" s="1296"/>
      <c r="AD576" s="1296"/>
      <c r="AE576" s="1296"/>
      <c r="AF576" s="1296"/>
      <c r="AG576" s="1296"/>
      <c r="AH576" s="1296"/>
      <c r="AI576" s="1296"/>
      <c r="AJ576" s="1296"/>
      <c r="AK576" s="1296"/>
      <c r="BB576" s="3"/>
      <c r="BC576" s="3"/>
      <c r="BD576" s="3"/>
      <c r="BE576" s="3"/>
      <c r="BF576" s="3"/>
      <c r="BG576" s="3"/>
      <c r="BH576" s="3"/>
      <c r="BI576" s="3"/>
    </row>
    <row r="577" spans="1:61" ht="12.95" customHeight="1">
      <c r="A577" s="22"/>
      <c r="B577" t="s">
        <v>85</v>
      </c>
      <c r="G577" s="1348" t="s">
        <v>2697</v>
      </c>
      <c r="H577" s="1348"/>
      <c r="I577" s="1348"/>
      <c r="J577" s="1348"/>
      <c r="K577" s="1348"/>
      <c r="L577" s="1348"/>
      <c r="M577" s="1348"/>
      <c r="N577" s="1348"/>
      <c r="O577" s="1348"/>
      <c r="P577" s="1348"/>
      <c r="Q577" s="1348"/>
      <c r="R577" s="1348"/>
      <c r="S577" s="8"/>
      <c r="T577" s="22"/>
      <c r="U577" t="s">
        <v>85</v>
      </c>
      <c r="Z577" s="1348" t="s">
        <v>2697</v>
      </c>
      <c r="AA577" s="1348"/>
      <c r="AB577" s="1348"/>
      <c r="AC577" s="1348"/>
      <c r="AD577" s="1348"/>
      <c r="AE577" s="1348"/>
      <c r="AF577" s="1348"/>
      <c r="AG577" s="1348"/>
      <c r="AH577" s="1348"/>
      <c r="AI577" s="1348"/>
      <c r="AJ577" s="1348"/>
      <c r="AK577" s="1348"/>
      <c r="BB577" s="3"/>
      <c r="BC577" s="3"/>
      <c r="BD577" s="3"/>
      <c r="BE577" s="3"/>
      <c r="BF577" s="3"/>
      <c r="BG577" s="3"/>
      <c r="BH577" s="3"/>
      <c r="BI577" s="3"/>
    </row>
    <row r="578" spans="1:61" ht="12.95" customHeight="1">
      <c r="A578" s="22"/>
      <c r="B578" t="s">
        <v>578</v>
      </c>
      <c r="G578" s="1348" t="s">
        <v>2698</v>
      </c>
      <c r="H578" s="1348"/>
      <c r="I578" s="1348"/>
      <c r="J578" s="1348"/>
      <c r="K578" s="1348"/>
      <c r="L578" s="1348"/>
      <c r="M578" s="1348"/>
      <c r="N578" s="1348"/>
      <c r="O578" s="1348"/>
      <c r="P578" s="1348"/>
      <c r="Q578" s="1348"/>
      <c r="R578" s="1348"/>
      <c r="T578" s="22"/>
      <c r="U578" t="s">
        <v>578</v>
      </c>
      <c r="Z578" s="1335" t="s">
        <v>2698</v>
      </c>
      <c r="AA578" s="1335"/>
      <c r="AB578" s="1335"/>
      <c r="AC578" s="1335"/>
      <c r="AD578" s="1335"/>
      <c r="AE578" s="1335"/>
      <c r="AF578" s="1335"/>
      <c r="AG578" s="1335"/>
      <c r="AH578" s="1335"/>
      <c r="AI578" s="1335"/>
      <c r="AJ578" s="1335"/>
      <c r="AK578" s="1335"/>
      <c r="BB578" s="3"/>
      <c r="BC578" s="3"/>
      <c r="BD578" s="3"/>
      <c r="BE578" s="3"/>
      <c r="BF578" s="3"/>
      <c r="BG578" s="3"/>
      <c r="BH578" s="3"/>
      <c r="BI578" s="3"/>
    </row>
    <row r="579" spans="1:61" ht="12.95" customHeight="1">
      <c r="A579" s="22"/>
      <c r="B579" t="s">
        <v>17</v>
      </c>
      <c r="G579" s="1348" t="s">
        <v>2699</v>
      </c>
      <c r="H579" s="1348"/>
      <c r="I579" s="1348"/>
      <c r="J579" s="1348"/>
      <c r="K579" s="1348"/>
      <c r="L579" s="1348"/>
      <c r="M579" s="1348"/>
      <c r="N579" s="1348"/>
      <c r="O579" s="1348"/>
      <c r="P579" s="1348"/>
      <c r="Q579" s="1348"/>
      <c r="R579" s="1348"/>
      <c r="S579" s="8"/>
      <c r="T579" s="22"/>
      <c r="U579" t="s">
        <v>17</v>
      </c>
      <c r="Z579" s="1335" t="s">
        <v>2699</v>
      </c>
      <c r="AA579" s="1335"/>
      <c r="AB579" s="1335"/>
      <c r="AC579" s="1335"/>
      <c r="AD579" s="1335"/>
      <c r="AE579" s="1335"/>
      <c r="AF579" s="1335"/>
      <c r="AG579" s="1335"/>
      <c r="AH579" s="1335"/>
      <c r="AI579" s="1335"/>
      <c r="AJ579" s="1335"/>
      <c r="AK579" s="1335"/>
      <c r="BB579" s="3"/>
      <c r="BC579" s="3"/>
      <c r="BD579" s="3"/>
      <c r="BE579" s="3"/>
      <c r="BF579" s="3"/>
      <c r="BG579" s="3"/>
      <c r="BH579" s="3"/>
      <c r="BI579" s="3"/>
    </row>
    <row r="580" spans="1:61" ht="12.95" customHeight="1">
      <c r="A580" s="22"/>
      <c r="B580" t="s">
        <v>315</v>
      </c>
      <c r="G580" s="1310">
        <v>3143353355</v>
      </c>
      <c r="H580" s="1310"/>
      <c r="I580" s="1310"/>
      <c r="J580" s="1310"/>
      <c r="K580" s="1310"/>
      <c r="L580" s="1310"/>
      <c r="O580" s="33" t="s">
        <v>205</v>
      </c>
      <c r="P580" s="1336"/>
      <c r="Q580" s="1336"/>
      <c r="R580" s="1336"/>
      <c r="S580" s="10"/>
      <c r="T580" s="22"/>
      <c r="U580" t="s">
        <v>315</v>
      </c>
      <c r="Z580" s="1310">
        <v>3143353355</v>
      </c>
      <c r="AA580" s="1310"/>
      <c r="AB580" s="1310"/>
      <c r="AC580" s="1310"/>
      <c r="AD580" s="1310"/>
      <c r="AE580" s="1310"/>
      <c r="AH580" s="33" t="s">
        <v>205</v>
      </c>
      <c r="AI580" s="1336"/>
      <c r="AJ580" s="1336"/>
      <c r="AK580" s="1336"/>
      <c r="BB580" s="3"/>
      <c r="BC580" s="3"/>
      <c r="BD580" s="3"/>
      <c r="BE580" s="3"/>
      <c r="BF580" s="3"/>
      <c r="BG580" s="3"/>
      <c r="BH580" s="3"/>
      <c r="BI580" s="3"/>
    </row>
    <row r="581" spans="1:61" ht="12.95" customHeight="1">
      <c r="A581" s="22"/>
      <c r="B581" t="s">
        <v>18</v>
      </c>
      <c r="H581" s="1348" t="s">
        <v>2722</v>
      </c>
      <c r="I581" s="1348"/>
      <c r="J581" s="1348"/>
      <c r="K581" s="1348"/>
      <c r="L581" s="1348"/>
      <c r="M581" s="1348"/>
      <c r="N581" s="1348"/>
      <c r="O581" s="1348"/>
      <c r="P581" s="1348"/>
      <c r="Q581" s="1348"/>
      <c r="R581" s="1348"/>
      <c r="S581" s="8"/>
      <c r="T581" s="22"/>
      <c r="U581" t="s">
        <v>18</v>
      </c>
      <c r="AA581" s="1348" t="s">
        <v>2723</v>
      </c>
      <c r="AB581" s="1348"/>
      <c r="AC581" s="1348"/>
      <c r="AD581" s="1348"/>
      <c r="AE581" s="1348"/>
      <c r="AF581" s="1348"/>
      <c r="AG581" s="1348"/>
      <c r="AH581" s="1348"/>
      <c r="AI581" s="1348"/>
      <c r="AJ581" s="1348"/>
      <c r="AK581" s="1348"/>
      <c r="BB581" s="3"/>
      <c r="BC581" s="3"/>
      <c r="BD581" s="3"/>
      <c r="BE581" s="3"/>
      <c r="BF581" s="3"/>
      <c r="BG581" s="3"/>
      <c r="BH581" s="3"/>
      <c r="BI581" s="3"/>
    </row>
    <row r="582" spans="1:61" ht="12.95" customHeight="1">
      <c r="A582" s="22"/>
      <c r="B582" s="320" t="s">
        <v>1183</v>
      </c>
      <c r="H582" s="8"/>
      <c r="I582" s="8"/>
      <c r="J582" s="8"/>
      <c r="K582" s="8"/>
      <c r="L582" s="8"/>
      <c r="M582" s="1600" t="s">
        <v>2764</v>
      </c>
      <c r="N582" s="1511"/>
      <c r="O582" s="1511"/>
      <c r="P582" s="1511"/>
      <c r="Q582" s="1511"/>
      <c r="R582" s="1511"/>
      <c r="S582" s="8"/>
      <c r="T582" s="22"/>
      <c r="U582" s="320" t="s">
        <v>1183</v>
      </c>
      <c r="AA582" s="8"/>
      <c r="AB582" s="8"/>
      <c r="AC582" s="8"/>
      <c r="AD582" s="8"/>
      <c r="AE582" s="8"/>
      <c r="AF582" s="1511" t="s">
        <v>2764</v>
      </c>
      <c r="AG582" s="1511"/>
      <c r="AH582" s="1511"/>
      <c r="AI582" s="1511"/>
      <c r="AJ582" s="1511"/>
      <c r="AK582" s="1511"/>
      <c r="BB582" s="3"/>
      <c r="BC582" s="3"/>
      <c r="BD582" s="3"/>
      <c r="BE582" s="3"/>
      <c r="BF582" s="3"/>
      <c r="BG582" s="3"/>
      <c r="BH582" s="3"/>
      <c r="BI582" s="3"/>
    </row>
    <row r="583" spans="1:61" ht="12.95" customHeight="1">
      <c r="A583" s="22"/>
      <c r="B583" t="s">
        <v>20</v>
      </c>
      <c r="N583" s="1306" t="s">
        <v>543</v>
      </c>
      <c r="O583" s="1306"/>
      <c r="T583" s="22"/>
      <c r="U583" t="s">
        <v>20</v>
      </c>
      <c r="AG583" s="1306" t="s">
        <v>543</v>
      </c>
      <c r="AH583" s="1306"/>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461</v>
      </c>
      <c r="G585" s="1296" t="str">
        <f>C564</f>
        <v>Stifel, Nicolaus &amp; Company, Incorporated</v>
      </c>
      <c r="H585" s="1296"/>
      <c r="I585" s="1296"/>
      <c r="J585" s="1296"/>
      <c r="K585" s="1296"/>
      <c r="L585" s="1296"/>
      <c r="M585" s="1296"/>
      <c r="N585" s="1296"/>
      <c r="O585" s="1296"/>
      <c r="P585" s="1296"/>
      <c r="Q585" s="1296"/>
      <c r="R585" s="1296"/>
      <c r="T585" s="55" t="s">
        <v>579</v>
      </c>
      <c r="U585" t="s">
        <v>461</v>
      </c>
      <c r="Z585" s="1296" t="str">
        <f>C565</f>
        <v>US. Bancorp Community Development Corporation</v>
      </c>
      <c r="AA585" s="1296"/>
      <c r="AB585" s="1296"/>
      <c r="AC585" s="1296"/>
      <c r="AD585" s="1296"/>
      <c r="AE585" s="1296"/>
      <c r="AF585" s="1296"/>
      <c r="AG585" s="1296"/>
      <c r="AH585" s="1296"/>
      <c r="AI585" s="1296"/>
      <c r="AJ585" s="1296"/>
      <c r="AK585" s="1296"/>
      <c r="BB585" s="3"/>
      <c r="BC585" s="3"/>
    </row>
    <row r="586" spans="1:61" ht="12.95" customHeight="1">
      <c r="A586" s="22"/>
      <c r="B586" t="s">
        <v>85</v>
      </c>
      <c r="G586" s="1435" t="s">
        <v>2755</v>
      </c>
      <c r="H586" s="1348"/>
      <c r="I586" s="1348"/>
      <c r="J586" s="1348"/>
      <c r="K586" s="1348"/>
      <c r="L586" s="1348"/>
      <c r="M586" s="1348"/>
      <c r="N586" s="1348"/>
      <c r="O586" s="1348"/>
      <c r="P586" s="1348"/>
      <c r="Q586" s="1348"/>
      <c r="R586" s="1348"/>
      <c r="T586" s="22"/>
      <c r="U586" t="s">
        <v>85</v>
      </c>
      <c r="Z586" s="1348" t="s">
        <v>2697</v>
      </c>
      <c r="AA586" s="1348"/>
      <c r="AB586" s="1348"/>
      <c r="AC586" s="1348"/>
      <c r="AD586" s="1348"/>
      <c r="AE586" s="1348"/>
      <c r="AF586" s="1348"/>
      <c r="AG586" s="1348"/>
      <c r="AH586" s="1348"/>
      <c r="AI586" s="1348"/>
      <c r="AJ586" s="1348"/>
      <c r="AK586" s="1348"/>
      <c r="BB586" s="3"/>
      <c r="BC586" s="3"/>
    </row>
    <row r="587" spans="1:61" ht="12.95" customHeight="1">
      <c r="A587" s="22"/>
      <c r="B587" t="s">
        <v>578</v>
      </c>
      <c r="G587" s="1454" t="s">
        <v>2756</v>
      </c>
      <c r="H587" s="1335"/>
      <c r="I587" s="1335"/>
      <c r="J587" s="1335"/>
      <c r="K587" s="1335"/>
      <c r="L587" s="1335"/>
      <c r="M587" s="1335"/>
      <c r="N587" s="1335"/>
      <c r="O587" s="1335"/>
      <c r="P587" s="1335"/>
      <c r="Q587" s="1335"/>
      <c r="R587" s="1335"/>
      <c r="T587" s="22"/>
      <c r="U587" t="s">
        <v>578</v>
      </c>
      <c r="Z587" s="1335" t="s">
        <v>2698</v>
      </c>
      <c r="AA587" s="1335"/>
      <c r="AB587" s="1335"/>
      <c r="AC587" s="1335"/>
      <c r="AD587" s="1335"/>
      <c r="AE587" s="1335"/>
      <c r="AF587" s="1335"/>
      <c r="AG587" s="1335"/>
      <c r="AH587" s="1335"/>
      <c r="AI587" s="1335"/>
      <c r="AJ587" s="1335"/>
      <c r="AK587" s="1335"/>
      <c r="BB587" s="3"/>
      <c r="BC587" s="3"/>
    </row>
    <row r="588" spans="1:61" ht="12.95" customHeight="1">
      <c r="A588" s="22"/>
      <c r="B588" t="s">
        <v>17</v>
      </c>
      <c r="G588" s="1454" t="s">
        <v>2754</v>
      </c>
      <c r="H588" s="1335"/>
      <c r="I588" s="1335"/>
      <c r="J588" s="1335"/>
      <c r="K588" s="1335"/>
      <c r="L588" s="1335"/>
      <c r="M588" s="1335"/>
      <c r="N588" s="1335"/>
      <c r="O588" s="1335"/>
      <c r="P588" s="1335"/>
      <c r="Q588" s="1335"/>
      <c r="R588" s="1335"/>
      <c r="T588" s="22"/>
      <c r="U588" t="s">
        <v>17</v>
      </c>
      <c r="Z588" s="1335" t="s">
        <v>2699</v>
      </c>
      <c r="AA588" s="1335"/>
      <c r="AB588" s="1335"/>
      <c r="AC588" s="1335"/>
      <c r="AD588" s="1335"/>
      <c r="AE588" s="1335"/>
      <c r="AF588" s="1335"/>
      <c r="AG588" s="1335"/>
      <c r="AH588" s="1335"/>
      <c r="AI588" s="1335"/>
      <c r="AJ588" s="1335"/>
      <c r="AK588" s="1335"/>
      <c r="BB588" s="3"/>
      <c r="BC588" s="3"/>
    </row>
    <row r="589" spans="1:61" ht="12.95" customHeight="1">
      <c r="A589" s="22"/>
      <c r="B589" t="s">
        <v>315</v>
      </c>
      <c r="G589" s="1310">
        <v>3032915263</v>
      </c>
      <c r="H589" s="1310"/>
      <c r="I589" s="1310"/>
      <c r="J589" s="1310"/>
      <c r="K589" s="1310"/>
      <c r="L589" s="1310"/>
      <c r="O589" s="33" t="s">
        <v>205</v>
      </c>
      <c r="P589" s="1336"/>
      <c r="Q589" s="1336"/>
      <c r="R589" s="1336"/>
      <c r="T589" s="22"/>
      <c r="U589" t="s">
        <v>315</v>
      </c>
      <c r="Z589" s="1310">
        <v>3143353355</v>
      </c>
      <c r="AA589" s="1310"/>
      <c r="AB589" s="1310"/>
      <c r="AC589" s="1310"/>
      <c r="AD589" s="1310"/>
      <c r="AE589" s="1310"/>
      <c r="AH589" s="33" t="s">
        <v>205</v>
      </c>
      <c r="AI589" s="1336"/>
      <c r="AJ589" s="1336"/>
      <c r="AK589" s="1336"/>
      <c r="BB589" s="3"/>
      <c r="BC589" s="3"/>
    </row>
    <row r="590" spans="1:61" ht="12.95" customHeight="1">
      <c r="A590" s="22"/>
      <c r="B590" t="s">
        <v>18</v>
      </c>
      <c r="H590" s="1348" t="s">
        <v>2723</v>
      </c>
      <c r="I590" s="1348"/>
      <c r="J590" s="1348"/>
      <c r="K590" s="1348"/>
      <c r="L590" s="1348"/>
      <c r="M590" s="1348"/>
      <c r="N590" s="1348"/>
      <c r="O590" s="1348"/>
      <c r="P590" s="1348"/>
      <c r="Q590" s="1348"/>
      <c r="R590" s="1348"/>
      <c r="T590" s="22"/>
      <c r="U590" t="s">
        <v>18</v>
      </c>
      <c r="AA590" s="1348" t="s">
        <v>2724</v>
      </c>
      <c r="AB590" s="1348"/>
      <c r="AC590" s="1348"/>
      <c r="AD590" s="1348"/>
      <c r="AE590" s="1348"/>
      <c r="AF590" s="1348"/>
      <c r="AG590" s="1348"/>
      <c r="AH590" s="1348"/>
      <c r="AI590" s="1348"/>
      <c r="AJ590" s="1348"/>
      <c r="AK590" s="1348"/>
      <c r="BB590" s="3"/>
      <c r="BC590" s="3"/>
    </row>
    <row r="591" spans="1:61" ht="12.95" customHeight="1">
      <c r="A591" s="22"/>
      <c r="B591" t="s">
        <v>20</v>
      </c>
      <c r="N591" s="1306" t="s">
        <v>543</v>
      </c>
      <c r="O591" s="1306"/>
      <c r="T591" s="22"/>
      <c r="U591" t="s">
        <v>20</v>
      </c>
      <c r="AG591" s="1306" t="s">
        <v>543</v>
      </c>
      <c r="AH591" s="1306"/>
      <c r="BB591" s="3"/>
      <c r="BC591" s="3"/>
    </row>
    <row r="592" spans="1:61" ht="12.95" customHeight="1">
      <c r="A592" s="22"/>
      <c r="T592" s="22"/>
      <c r="BB592" s="3"/>
      <c r="BC592" s="3"/>
    </row>
    <row r="593" spans="1:55" ht="12.95" customHeight="1">
      <c r="A593" s="55" t="s">
        <v>761</v>
      </c>
      <c r="B593" t="s">
        <v>461</v>
      </c>
      <c r="G593" s="1296" t="str">
        <f>C566</f>
        <v>US. Bancorp Community Development Corporation</v>
      </c>
      <c r="H593" s="1296"/>
      <c r="I593" s="1296"/>
      <c r="J593" s="1296"/>
      <c r="K593" s="1296"/>
      <c r="L593" s="1296"/>
      <c r="M593" s="1296"/>
      <c r="N593" s="1296"/>
      <c r="O593" s="1296"/>
      <c r="P593" s="1296"/>
      <c r="Q593" s="1296"/>
      <c r="R593" s="1296"/>
      <c r="T593" s="55" t="s">
        <v>582</v>
      </c>
      <c r="U593" t="s">
        <v>461</v>
      </c>
      <c r="Z593" s="1296" t="str">
        <f>C567</f>
        <v>Deferred Costs</v>
      </c>
      <c r="AA593" s="1296"/>
      <c r="AB593" s="1296"/>
      <c r="AC593" s="1296"/>
      <c r="AD593" s="1296"/>
      <c r="AE593" s="1296"/>
      <c r="AF593" s="1296"/>
      <c r="AG593" s="1296"/>
      <c r="AH593" s="1296"/>
      <c r="AI593" s="1296"/>
      <c r="AJ593" s="1296"/>
      <c r="AK593" s="1296"/>
      <c r="BB593" s="3"/>
      <c r="BC593" s="3"/>
    </row>
    <row r="594" spans="1:55" ht="12.95" customHeight="1">
      <c r="A594" s="22"/>
      <c r="B594" t="s">
        <v>85</v>
      </c>
      <c r="G594" s="1348" t="s">
        <v>2697</v>
      </c>
      <c r="H594" s="1348"/>
      <c r="I594" s="1348"/>
      <c r="J594" s="1348"/>
      <c r="K594" s="1348"/>
      <c r="L594" s="1348"/>
      <c r="M594" s="1348"/>
      <c r="N594" s="1348"/>
      <c r="O594" s="1348"/>
      <c r="P594" s="1348"/>
      <c r="Q594" s="1348"/>
      <c r="R594" s="1348"/>
      <c r="T594" s="22"/>
      <c r="U594" t="s">
        <v>85</v>
      </c>
      <c r="Z594" s="1348" t="s">
        <v>2726</v>
      </c>
      <c r="AA594" s="1348"/>
      <c r="AB594" s="1348"/>
      <c r="AC594" s="1348"/>
      <c r="AD594" s="1348"/>
      <c r="AE594" s="1348"/>
      <c r="AF594" s="1348"/>
      <c r="AG594" s="1348"/>
      <c r="AH594" s="1348"/>
      <c r="AI594" s="1348"/>
      <c r="AJ594" s="1348"/>
      <c r="AK594" s="1348"/>
      <c r="BB594" s="3"/>
      <c r="BC594" s="3"/>
    </row>
    <row r="595" spans="1:55" ht="12.95" customHeight="1">
      <c r="A595" s="22"/>
      <c r="B595" t="s">
        <v>578</v>
      </c>
      <c r="G595" s="1348" t="s">
        <v>2698</v>
      </c>
      <c r="H595" s="1348"/>
      <c r="I595" s="1348"/>
      <c r="J595" s="1348"/>
      <c r="K595" s="1348"/>
      <c r="L595" s="1348"/>
      <c r="M595" s="1348"/>
      <c r="N595" s="1348"/>
      <c r="O595" s="1348"/>
      <c r="P595" s="1348"/>
      <c r="Q595" s="1348"/>
      <c r="R595" s="1348"/>
      <c r="T595" s="22"/>
      <c r="U595" t="s">
        <v>578</v>
      </c>
      <c r="Z595" s="1335" t="s">
        <v>2672</v>
      </c>
      <c r="AA595" s="1335"/>
      <c r="AB595" s="1335"/>
      <c r="AC595" s="1335"/>
      <c r="AD595" s="1335"/>
      <c r="AE595" s="1335"/>
      <c r="AF595" s="1335"/>
      <c r="AG595" s="1335"/>
      <c r="AH595" s="1335"/>
      <c r="AI595" s="1335"/>
      <c r="AJ595" s="1335"/>
      <c r="AK595" s="1335"/>
      <c r="BB595" s="3"/>
      <c r="BC595" s="3"/>
    </row>
    <row r="596" spans="1:55" ht="12.95" customHeight="1">
      <c r="A596" s="22"/>
      <c r="B596" t="s">
        <v>17</v>
      </c>
      <c r="G596" s="1348" t="s">
        <v>2699</v>
      </c>
      <c r="H596" s="1348"/>
      <c r="I596" s="1348"/>
      <c r="J596" s="1348"/>
      <c r="K596" s="1348"/>
      <c r="L596" s="1348"/>
      <c r="M596" s="1348"/>
      <c r="N596" s="1348"/>
      <c r="O596" s="1348"/>
      <c r="P596" s="1348"/>
      <c r="Q596" s="1348"/>
      <c r="R596" s="1348"/>
      <c r="T596" s="22"/>
      <c r="U596" t="s">
        <v>17</v>
      </c>
      <c r="Z596" s="1335" t="s">
        <v>2669</v>
      </c>
      <c r="AA596" s="1335"/>
      <c r="AB596" s="1335"/>
      <c r="AC596" s="1335"/>
      <c r="AD596" s="1335"/>
      <c r="AE596" s="1335"/>
      <c r="AF596" s="1335"/>
      <c r="AG596" s="1335"/>
      <c r="AH596" s="1335"/>
      <c r="AI596" s="1335"/>
      <c r="AJ596" s="1335"/>
      <c r="AK596" s="1335"/>
    </row>
    <row r="597" spans="1:55" ht="12.95" customHeight="1">
      <c r="A597" s="22"/>
      <c r="B597" t="s">
        <v>315</v>
      </c>
      <c r="G597" s="1310">
        <v>3143353355</v>
      </c>
      <c r="H597" s="1310"/>
      <c r="I597" s="1310"/>
      <c r="J597" s="1310"/>
      <c r="K597" s="1310"/>
      <c r="L597" s="1310"/>
      <c r="O597" s="33" t="s">
        <v>205</v>
      </c>
      <c r="P597" s="1336"/>
      <c r="Q597" s="1336"/>
      <c r="R597" s="1336"/>
      <c r="T597" s="22"/>
      <c r="U597" t="s">
        <v>315</v>
      </c>
      <c r="Z597" s="1310">
        <v>4242228253</v>
      </c>
      <c r="AA597" s="1310"/>
      <c r="AB597" s="1310"/>
      <c r="AC597" s="1310"/>
      <c r="AD597" s="1310"/>
      <c r="AE597" s="1310"/>
      <c r="AH597" s="33" t="s">
        <v>205</v>
      </c>
      <c r="AI597" s="1336"/>
      <c r="AJ597" s="1336"/>
      <c r="AK597" s="1336"/>
      <c r="AZ597" s="3"/>
      <c r="BA597" s="3"/>
      <c r="BB597" s="3"/>
      <c r="BC597" s="3"/>
    </row>
    <row r="598" spans="1:55" ht="12.95" customHeight="1">
      <c r="A598" s="22"/>
      <c r="B598" t="s">
        <v>18</v>
      </c>
      <c r="H598" s="1348" t="s">
        <v>2725</v>
      </c>
      <c r="I598" s="1348"/>
      <c r="J598" s="1348"/>
      <c r="K598" s="1348"/>
      <c r="L598" s="1348"/>
      <c r="M598" s="1348"/>
      <c r="N598" s="1348"/>
      <c r="O598" s="1348"/>
      <c r="P598" s="1348"/>
      <c r="Q598" s="1348"/>
      <c r="R598" s="1348"/>
      <c r="T598" s="22"/>
      <c r="U598" t="s">
        <v>18</v>
      </c>
      <c r="AA598" s="1348" t="s">
        <v>2649</v>
      </c>
      <c r="AB598" s="1348"/>
      <c r="AC598" s="1348"/>
      <c r="AD598" s="1348"/>
      <c r="AE598" s="1348"/>
      <c r="AF598" s="1348"/>
      <c r="AG598" s="1348"/>
      <c r="AH598" s="1348"/>
      <c r="AI598" s="1348"/>
      <c r="AJ598" s="1348"/>
      <c r="AK598" s="1348"/>
      <c r="AZ598" s="3"/>
      <c r="BA598" s="3"/>
      <c r="BB598" s="3"/>
      <c r="BC598" s="3"/>
    </row>
    <row r="599" spans="1:55" ht="12.95" customHeight="1">
      <c r="A599" s="22"/>
      <c r="B599" t="s">
        <v>20</v>
      </c>
      <c r="N599" s="1306" t="s">
        <v>543</v>
      </c>
      <c r="O599" s="1306"/>
      <c r="T599" s="22"/>
      <c r="U599" t="s">
        <v>20</v>
      </c>
      <c r="AG599" s="1306" t="s">
        <v>543</v>
      </c>
      <c r="AH599" s="1306"/>
      <c r="AZ599" s="3"/>
      <c r="BA599" s="3"/>
      <c r="BB599" s="3"/>
      <c r="BC599" s="3"/>
    </row>
    <row r="600" spans="1:55" ht="12.95" customHeight="1">
      <c r="A600" s="22"/>
      <c r="T600" s="22"/>
      <c r="AZ600" s="3"/>
      <c r="BA600" s="3"/>
      <c r="BB600" s="3"/>
      <c r="BC600" s="3"/>
    </row>
    <row r="601" spans="1:55" ht="12.95" customHeight="1">
      <c r="A601" s="55" t="s">
        <v>453</v>
      </c>
      <c r="B601" t="s">
        <v>461</v>
      </c>
      <c r="G601" s="1296" t="str">
        <f>C568</f>
        <v>Short-Term Bond Reinvestment Proceeds</v>
      </c>
      <c r="H601" s="1296"/>
      <c r="I601" s="1296"/>
      <c r="J601" s="1296"/>
      <c r="K601" s="1296"/>
      <c r="L601" s="1296"/>
      <c r="M601" s="1296"/>
      <c r="N601" s="1296"/>
      <c r="O601" s="1296"/>
      <c r="P601" s="1296"/>
      <c r="Q601" s="1296"/>
      <c r="R601" s="1296"/>
      <c r="T601" s="55" t="s">
        <v>454</v>
      </c>
      <c r="U601" t="s">
        <v>461</v>
      </c>
      <c r="Z601" s="1296" t="str">
        <f>C569</f>
        <v>Deferred Developer Fee</v>
      </c>
      <c r="AA601" s="1296"/>
      <c r="AB601" s="1296"/>
      <c r="AC601" s="1296"/>
      <c r="AD601" s="1296"/>
      <c r="AE601" s="1296"/>
      <c r="AF601" s="1296"/>
      <c r="AG601" s="1296"/>
      <c r="AH601" s="1296"/>
      <c r="AI601" s="1296"/>
      <c r="AJ601" s="1296"/>
      <c r="AK601" s="1296"/>
      <c r="AZ601" s="3"/>
      <c r="BA601" s="3"/>
      <c r="BB601" s="3"/>
      <c r="BC601" s="3"/>
    </row>
    <row r="602" spans="1:55" s="4" customFormat="1" ht="12.95" customHeight="1">
      <c r="A602" s="22"/>
      <c r="B602" t="s">
        <v>85</v>
      </c>
      <c r="C602"/>
      <c r="D602"/>
      <c r="E602"/>
      <c r="F602"/>
      <c r="G602" s="1348" t="s">
        <v>2726</v>
      </c>
      <c r="H602" s="1348"/>
      <c r="I602" s="1348"/>
      <c r="J602" s="1348"/>
      <c r="K602" s="1348"/>
      <c r="L602" s="1348"/>
      <c r="M602" s="1348"/>
      <c r="N602" s="1348"/>
      <c r="O602" s="1348"/>
      <c r="P602" s="1348"/>
      <c r="Q602" s="1348"/>
      <c r="R602" s="1348"/>
      <c r="S602"/>
      <c r="T602" s="22"/>
      <c r="U602" t="s">
        <v>85</v>
      </c>
      <c r="V602"/>
      <c r="W602"/>
      <c r="X602"/>
      <c r="Y602"/>
      <c r="Z602" s="1348" t="s">
        <v>2667</v>
      </c>
      <c r="AA602" s="1348"/>
      <c r="AB602" s="1348"/>
      <c r="AC602" s="1348"/>
      <c r="AD602" s="1348"/>
      <c r="AE602" s="1348"/>
      <c r="AF602" s="1348"/>
      <c r="AG602" s="1348"/>
      <c r="AH602" s="1348"/>
      <c r="AI602" s="1348"/>
      <c r="AJ602" s="1348"/>
      <c r="AK602" s="1348"/>
      <c r="AL602"/>
      <c r="AM602"/>
      <c r="AN602"/>
      <c r="AO602"/>
      <c r="AP602"/>
      <c r="AQ602"/>
      <c r="AR602"/>
      <c r="AS602"/>
      <c r="AT602"/>
      <c r="AU602"/>
      <c r="AV602"/>
      <c r="AW602"/>
      <c r="AX602"/>
      <c r="AY602"/>
      <c r="AZ602" s="3"/>
      <c r="BA602" s="3"/>
      <c r="BB602" s="3"/>
      <c r="BC602" s="3"/>
    </row>
    <row r="603" spans="1:55" s="4" customFormat="1" ht="12.95" customHeight="1">
      <c r="A603" s="22"/>
      <c r="B603" t="s">
        <v>578</v>
      </c>
      <c r="C603"/>
      <c r="D603"/>
      <c r="E603"/>
      <c r="F603"/>
      <c r="G603" s="1348" t="s">
        <v>2672</v>
      </c>
      <c r="H603" s="1348"/>
      <c r="I603" s="1348"/>
      <c r="J603" s="1348"/>
      <c r="K603" s="1348"/>
      <c r="L603" s="1348"/>
      <c r="M603" s="1348"/>
      <c r="N603" s="1348"/>
      <c r="O603" s="1348"/>
      <c r="P603" s="1348"/>
      <c r="Q603" s="1348"/>
      <c r="R603" s="1348"/>
      <c r="S603"/>
      <c r="T603" s="22"/>
      <c r="U603" t="s">
        <v>578</v>
      </c>
      <c r="V603"/>
      <c r="W603"/>
      <c r="X603"/>
      <c r="Y603"/>
      <c r="Z603" s="1335" t="s">
        <v>2672</v>
      </c>
      <c r="AA603" s="1335"/>
      <c r="AB603" s="1335"/>
      <c r="AC603" s="1335"/>
      <c r="AD603" s="1335"/>
      <c r="AE603" s="1335"/>
      <c r="AF603" s="1335"/>
      <c r="AG603" s="1335"/>
      <c r="AH603" s="1335"/>
      <c r="AI603" s="1335"/>
      <c r="AJ603" s="1335"/>
      <c r="AK603" s="1335"/>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48" t="s">
        <v>2669</v>
      </c>
      <c r="H604" s="1348"/>
      <c r="I604" s="1348"/>
      <c r="J604" s="1348"/>
      <c r="K604" s="1348"/>
      <c r="L604" s="1348"/>
      <c r="M604" s="1348"/>
      <c r="N604" s="1348"/>
      <c r="O604" s="1348"/>
      <c r="P604" s="1348"/>
      <c r="Q604" s="1348"/>
      <c r="R604" s="1348"/>
      <c r="S604"/>
      <c r="T604" s="22"/>
      <c r="U604" t="s">
        <v>17</v>
      </c>
      <c r="V604"/>
      <c r="W604"/>
      <c r="X604"/>
      <c r="Y604"/>
      <c r="Z604" s="1335" t="s">
        <v>2669</v>
      </c>
      <c r="AA604" s="1335"/>
      <c r="AB604" s="1335"/>
      <c r="AC604" s="1335"/>
      <c r="AD604" s="1335"/>
      <c r="AE604" s="1335"/>
      <c r="AF604" s="1335"/>
      <c r="AG604" s="1335"/>
      <c r="AH604" s="1335"/>
      <c r="AI604" s="1335"/>
      <c r="AJ604" s="1335"/>
      <c r="AK604" s="1335"/>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310">
        <v>4242228253</v>
      </c>
      <c r="H605" s="1310"/>
      <c r="I605" s="1310"/>
      <c r="J605" s="1310"/>
      <c r="K605" s="1310"/>
      <c r="L605" s="1310"/>
      <c r="M605"/>
      <c r="N605"/>
      <c r="O605" s="33" t="s">
        <v>205</v>
      </c>
      <c r="P605" s="1336"/>
      <c r="Q605" s="1336"/>
      <c r="R605" s="1336"/>
      <c r="S605"/>
      <c r="T605" s="22"/>
      <c r="U605" t="s">
        <v>315</v>
      </c>
      <c r="V605"/>
      <c r="W605"/>
      <c r="X605"/>
      <c r="Y605"/>
      <c r="Z605" s="1310" t="s">
        <v>2727</v>
      </c>
      <c r="AA605" s="1310"/>
      <c r="AB605" s="1310"/>
      <c r="AC605" s="1310"/>
      <c r="AD605" s="1310"/>
      <c r="AE605" s="1310"/>
      <c r="AF605"/>
      <c r="AG605"/>
      <c r="AH605" s="33" t="s">
        <v>205</v>
      </c>
      <c r="AI605" s="1336"/>
      <c r="AJ605" s="1336"/>
      <c r="AK605" s="1336"/>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48" t="s">
        <v>2648</v>
      </c>
      <c r="I606" s="1348"/>
      <c r="J606" s="1348"/>
      <c r="K606" s="1348"/>
      <c r="L606" s="1348"/>
      <c r="M606" s="1348"/>
      <c r="N606" s="1348"/>
      <c r="O606" s="1348"/>
      <c r="P606" s="1348"/>
      <c r="Q606" s="1348"/>
      <c r="R606" s="1348"/>
      <c r="S606"/>
      <c r="T606" s="22"/>
      <c r="U606" t="s">
        <v>18</v>
      </c>
      <c r="V606"/>
      <c r="W606"/>
      <c r="X606"/>
      <c r="Y606"/>
      <c r="Z606"/>
      <c r="AA606" s="1348" t="s">
        <v>2259</v>
      </c>
      <c r="AB606" s="1348"/>
      <c r="AC606" s="1348"/>
      <c r="AD606" s="1348"/>
      <c r="AE606" s="1348"/>
      <c r="AF606" s="1348"/>
      <c r="AG606" s="1348"/>
      <c r="AH606" s="1348"/>
      <c r="AI606" s="1348"/>
      <c r="AJ606" s="1348"/>
      <c r="AK606" s="1348"/>
      <c r="AL606"/>
      <c r="AM606"/>
      <c r="AN606"/>
      <c r="AO606"/>
      <c r="AP606"/>
      <c r="AQ606"/>
      <c r="AR606"/>
      <c r="AS606"/>
      <c r="AT606"/>
      <c r="AU606"/>
      <c r="AV606"/>
      <c r="AW606"/>
      <c r="AX606"/>
      <c r="AY606"/>
      <c r="BB606" s="3"/>
      <c r="BC606" s="3"/>
    </row>
    <row r="607" spans="1:55" ht="12.95" customHeight="1">
      <c r="A607" s="22"/>
      <c r="B607" t="s">
        <v>20</v>
      </c>
      <c r="N607" s="1306" t="s">
        <v>543</v>
      </c>
      <c r="O607" s="1306"/>
      <c r="T607" s="22"/>
      <c r="U607" t="s">
        <v>20</v>
      </c>
      <c r="AG607" s="1306" t="s">
        <v>543</v>
      </c>
      <c r="AH607" s="1306"/>
      <c r="BB607" s="3"/>
      <c r="BC607" s="3"/>
    </row>
    <row r="608" spans="1:55" ht="12.95" customHeight="1">
      <c r="A608" s="22"/>
      <c r="T608" s="22"/>
      <c r="BB608" s="3"/>
      <c r="BC608" s="3"/>
    </row>
    <row r="609" spans="1:55" ht="12.95" customHeight="1">
      <c r="A609" s="55" t="s">
        <v>459</v>
      </c>
      <c r="B609" t="s">
        <v>461</v>
      </c>
      <c r="G609" s="1296">
        <f>C570</f>
        <v>0</v>
      </c>
      <c r="H609" s="1296"/>
      <c r="I609" s="1296"/>
      <c r="J609" s="1296"/>
      <c r="K609" s="1296"/>
      <c r="L609" s="1296"/>
      <c r="M609" s="1296"/>
      <c r="N609" s="1296"/>
      <c r="O609" s="1296"/>
      <c r="P609" s="1296"/>
      <c r="Q609" s="1296"/>
      <c r="R609" s="1296"/>
      <c r="T609" s="55" t="s">
        <v>644</v>
      </c>
      <c r="U609" t="s">
        <v>461</v>
      </c>
      <c r="Z609" s="1296">
        <f>C571</f>
        <v>0</v>
      </c>
      <c r="AA609" s="1296"/>
      <c r="AB609" s="1296"/>
      <c r="AC609" s="1296"/>
      <c r="AD609" s="1296"/>
      <c r="AE609" s="1296"/>
      <c r="AF609" s="1296"/>
      <c r="AG609" s="1296"/>
      <c r="AH609" s="1296"/>
      <c r="AI609" s="1296"/>
      <c r="AJ609" s="1296"/>
      <c r="AK609" s="1296"/>
      <c r="BB609" s="3"/>
      <c r="BC609" s="3"/>
    </row>
    <row r="610" spans="1:55" ht="12.95" customHeight="1">
      <c r="A610" s="22"/>
      <c r="B610" t="s">
        <v>85</v>
      </c>
      <c r="G610" s="1348"/>
      <c r="H610" s="1348"/>
      <c r="I610" s="1348"/>
      <c r="J610" s="1348"/>
      <c r="K610" s="1348"/>
      <c r="L610" s="1348"/>
      <c r="M610" s="1348"/>
      <c r="N610" s="1348"/>
      <c r="O610" s="1348"/>
      <c r="P610" s="1348"/>
      <c r="Q610" s="1348"/>
      <c r="R610" s="1348"/>
      <c r="T610" s="22"/>
      <c r="U610" t="s">
        <v>85</v>
      </c>
      <c r="Z610" s="1348"/>
      <c r="AA610" s="1348"/>
      <c r="AB610" s="1348"/>
      <c r="AC610" s="1348"/>
      <c r="AD610" s="1348"/>
      <c r="AE610" s="1348"/>
      <c r="AF610" s="1348"/>
      <c r="AG610" s="1348"/>
      <c r="AH610" s="1348"/>
      <c r="AI610" s="1348"/>
      <c r="AJ610" s="1348"/>
      <c r="AK610" s="1348"/>
      <c r="AZ610" s="3"/>
      <c r="BA610" s="3"/>
      <c r="BB610" s="3"/>
      <c r="BC610" s="3"/>
    </row>
    <row r="611" spans="1:55" ht="12.95" customHeight="1">
      <c r="A611" s="22"/>
      <c r="B611" t="s">
        <v>578</v>
      </c>
      <c r="G611" s="1348"/>
      <c r="H611" s="1348"/>
      <c r="I611" s="1348"/>
      <c r="J611" s="1348"/>
      <c r="K611" s="1348"/>
      <c r="L611" s="1348"/>
      <c r="M611" s="1348"/>
      <c r="N611" s="1348"/>
      <c r="O611" s="1348"/>
      <c r="P611" s="1348"/>
      <c r="Q611" s="1348"/>
      <c r="R611" s="1348"/>
      <c r="T611" s="22"/>
      <c r="U611" t="s">
        <v>578</v>
      </c>
      <c r="Z611" s="1335"/>
      <c r="AA611" s="1335"/>
      <c r="AB611" s="1335"/>
      <c r="AC611" s="1335"/>
      <c r="AD611" s="1335"/>
      <c r="AE611" s="1335"/>
      <c r="AF611" s="1335"/>
      <c r="AG611" s="1335"/>
      <c r="AH611" s="1335"/>
      <c r="AI611" s="1335"/>
      <c r="AJ611" s="1335"/>
      <c r="AK611" s="1335"/>
      <c r="AZ611" s="3"/>
      <c r="BA611" s="3"/>
      <c r="BB611" s="3"/>
      <c r="BC611" s="3"/>
    </row>
    <row r="612" spans="1:55" ht="12.95" customHeight="1">
      <c r="A612" s="22"/>
      <c r="B612" t="s">
        <v>17</v>
      </c>
      <c r="G612" s="1348"/>
      <c r="H612" s="1348"/>
      <c r="I612" s="1348"/>
      <c r="J612" s="1348"/>
      <c r="K612" s="1348"/>
      <c r="L612" s="1348"/>
      <c r="M612" s="1348"/>
      <c r="N612" s="1348"/>
      <c r="O612" s="1348"/>
      <c r="P612" s="1348"/>
      <c r="Q612" s="1348"/>
      <c r="R612" s="1348"/>
      <c r="T612" s="22"/>
      <c r="U612" t="s">
        <v>17</v>
      </c>
      <c r="Z612" s="1335"/>
      <c r="AA612" s="1335"/>
      <c r="AB612" s="1335"/>
      <c r="AC612" s="1335"/>
      <c r="AD612" s="1335"/>
      <c r="AE612" s="1335"/>
      <c r="AF612" s="1335"/>
      <c r="AG612" s="1335"/>
      <c r="AH612" s="1335"/>
      <c r="AI612" s="1335"/>
      <c r="AJ612" s="1335"/>
      <c r="AK612" s="1335"/>
      <c r="AZ612" s="3"/>
      <c r="BA612" s="3"/>
      <c r="BB612" s="3"/>
      <c r="BC612" s="3"/>
    </row>
    <row r="613" spans="1:55" s="4" customFormat="1" ht="12.95" customHeight="1">
      <c r="A613" s="22"/>
      <c r="B613" t="s">
        <v>315</v>
      </c>
      <c r="C613"/>
      <c r="D613"/>
      <c r="E613"/>
      <c r="F613"/>
      <c r="G613" s="1310"/>
      <c r="H613" s="1310"/>
      <c r="I613" s="1310"/>
      <c r="J613" s="1310"/>
      <c r="K613" s="1310"/>
      <c r="L613" s="1310"/>
      <c r="M613"/>
      <c r="N613"/>
      <c r="O613" s="33" t="s">
        <v>205</v>
      </c>
      <c r="P613" s="1336"/>
      <c r="Q613" s="1336"/>
      <c r="R613" s="1336"/>
      <c r="S613"/>
      <c r="T613" s="22"/>
      <c r="U613" t="s">
        <v>315</v>
      </c>
      <c r="V613"/>
      <c r="W613"/>
      <c r="X613"/>
      <c r="Y613"/>
      <c r="Z613" s="1310"/>
      <c r="AA613" s="1310"/>
      <c r="AB613" s="1310"/>
      <c r="AC613" s="1310"/>
      <c r="AD613" s="1310"/>
      <c r="AE613" s="1310"/>
      <c r="AF613"/>
      <c r="AG613"/>
      <c r="AH613" s="33" t="s">
        <v>205</v>
      </c>
      <c r="AI613" s="1336"/>
      <c r="AJ613" s="1336"/>
      <c r="AK613" s="1336"/>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48"/>
      <c r="I614" s="1348"/>
      <c r="J614" s="1348"/>
      <c r="K614" s="1348"/>
      <c r="L614" s="1348"/>
      <c r="M614" s="1348"/>
      <c r="N614" s="1348"/>
      <c r="O614" s="1348"/>
      <c r="P614" s="1348"/>
      <c r="Q614" s="1348"/>
      <c r="R614" s="1348"/>
      <c r="S614"/>
      <c r="T614" s="22"/>
      <c r="U614" t="s">
        <v>18</v>
      </c>
      <c r="V614"/>
      <c r="W614"/>
      <c r="X614"/>
      <c r="Y614"/>
      <c r="Z614"/>
      <c r="AA614" s="1348"/>
      <c r="AB614" s="1348"/>
      <c r="AC614" s="1348"/>
      <c r="AD614" s="1348"/>
      <c r="AE614" s="1348"/>
      <c r="AF614" s="1348"/>
      <c r="AG614" s="1348"/>
      <c r="AH614" s="1348"/>
      <c r="AI614" s="1348"/>
      <c r="AJ614" s="1348"/>
      <c r="AK614" s="1348"/>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06" t="s">
        <v>667</v>
      </c>
      <c r="O615" s="1306"/>
      <c r="P615"/>
      <c r="Q615"/>
      <c r="R615"/>
      <c r="S615"/>
      <c r="T615" s="22"/>
      <c r="U615" t="s">
        <v>20</v>
      </c>
      <c r="V615"/>
      <c r="W615"/>
      <c r="X615"/>
      <c r="Y615"/>
      <c r="Z615"/>
      <c r="AA615"/>
      <c r="AB615"/>
      <c r="AC615"/>
      <c r="AD615"/>
      <c r="AE615"/>
      <c r="AF615"/>
      <c r="AG615" s="1306" t="s">
        <v>667</v>
      </c>
      <c r="AH615" s="1306"/>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360</v>
      </c>
      <c r="B617" t="s">
        <v>461</v>
      </c>
      <c r="G617" s="1296">
        <f>C572</f>
        <v>0</v>
      </c>
      <c r="H617" s="1296"/>
      <c r="I617" s="1296"/>
      <c r="J617" s="1296"/>
      <c r="K617" s="1296"/>
      <c r="L617" s="1296"/>
      <c r="M617" s="1296"/>
      <c r="N617" s="1296"/>
      <c r="O617" s="1296"/>
      <c r="P617" s="1296"/>
      <c r="Q617" s="1296"/>
      <c r="R617" s="1296"/>
      <c r="T617" s="55" t="s">
        <v>361</v>
      </c>
      <c r="U617" t="s">
        <v>461</v>
      </c>
      <c r="Z617" s="1296">
        <f>C573</f>
        <v>0</v>
      </c>
      <c r="AA617" s="1296"/>
      <c r="AB617" s="1296"/>
      <c r="AC617" s="1296"/>
      <c r="AD617" s="1296"/>
      <c r="AE617" s="1296"/>
      <c r="AF617" s="1296"/>
      <c r="AG617" s="1296"/>
      <c r="AH617" s="1296"/>
      <c r="AI617" s="1296"/>
      <c r="AJ617" s="1296"/>
      <c r="AK617" s="1296"/>
      <c r="AZ617" s="3"/>
      <c r="BA617" s="3"/>
      <c r="BB617" s="3"/>
      <c r="BC617" s="3"/>
    </row>
    <row r="618" spans="1:55" ht="12.95" customHeight="1">
      <c r="B618" t="s">
        <v>85</v>
      </c>
      <c r="G618" s="1348"/>
      <c r="H618" s="1348"/>
      <c r="I618" s="1348"/>
      <c r="J618" s="1348"/>
      <c r="K618" s="1348"/>
      <c r="L618" s="1348"/>
      <c r="M618" s="1348"/>
      <c r="N618" s="1348"/>
      <c r="O618" s="1348"/>
      <c r="P618" s="1348"/>
      <c r="Q618" s="1348"/>
      <c r="R618" s="1348"/>
      <c r="U618" t="s">
        <v>85</v>
      </c>
      <c r="Z618" s="1348"/>
      <c r="AA618" s="1348"/>
      <c r="AB618" s="1348"/>
      <c r="AC618" s="1348"/>
      <c r="AD618" s="1348"/>
      <c r="AE618" s="1348"/>
      <c r="AF618" s="1348"/>
      <c r="AG618" s="1348"/>
      <c r="AH618" s="1348"/>
      <c r="AI618" s="1348"/>
      <c r="AJ618" s="1348"/>
      <c r="AK618" s="1348"/>
      <c r="AZ618" s="3"/>
      <c r="BA618" s="3"/>
      <c r="BB618" s="3"/>
      <c r="BC618" s="3"/>
    </row>
    <row r="619" spans="1:55" ht="12.95" customHeight="1">
      <c r="B619" t="s">
        <v>578</v>
      </c>
      <c r="G619" s="1348"/>
      <c r="H619" s="1348"/>
      <c r="I619" s="1348"/>
      <c r="J619" s="1348"/>
      <c r="K619" s="1348"/>
      <c r="L619" s="1348"/>
      <c r="M619" s="1348"/>
      <c r="N619" s="1348"/>
      <c r="O619" s="1348"/>
      <c r="P619" s="1348"/>
      <c r="Q619" s="1348"/>
      <c r="R619" s="1348"/>
      <c r="U619" t="s">
        <v>578</v>
      </c>
      <c r="Z619" s="1335"/>
      <c r="AA619" s="1335"/>
      <c r="AB619" s="1335"/>
      <c r="AC619" s="1335"/>
      <c r="AD619" s="1335"/>
      <c r="AE619" s="1335"/>
      <c r="AF619" s="1335"/>
      <c r="AG619" s="1335"/>
      <c r="AH619" s="1335"/>
      <c r="AI619" s="1335"/>
      <c r="AJ619" s="1335"/>
      <c r="AK619" s="1335"/>
      <c r="AZ619" s="3"/>
      <c r="BA619" s="3"/>
      <c r="BB619" s="3"/>
      <c r="BC619" s="3"/>
    </row>
    <row r="620" spans="1:55" ht="12.95" customHeight="1">
      <c r="B620" t="s">
        <v>17</v>
      </c>
      <c r="G620" s="1348"/>
      <c r="H620" s="1348"/>
      <c r="I620" s="1348"/>
      <c r="J620" s="1348"/>
      <c r="K620" s="1348"/>
      <c r="L620" s="1348"/>
      <c r="M620" s="1348"/>
      <c r="N620" s="1348"/>
      <c r="O620" s="1348"/>
      <c r="P620" s="1348"/>
      <c r="Q620" s="1348"/>
      <c r="R620" s="1348"/>
      <c r="U620" t="s">
        <v>17</v>
      </c>
      <c r="Z620" s="1335"/>
      <c r="AA620" s="1335"/>
      <c r="AB620" s="1335"/>
      <c r="AC620" s="1335"/>
      <c r="AD620" s="1335"/>
      <c r="AE620" s="1335"/>
      <c r="AF620" s="1335"/>
      <c r="AG620" s="1335"/>
      <c r="AH620" s="1335"/>
      <c r="AI620" s="1335"/>
      <c r="AJ620" s="1335"/>
      <c r="AK620" s="1335"/>
      <c r="AZ620" s="3"/>
      <c r="BA620" s="3"/>
      <c r="BB620" s="3"/>
      <c r="BC620" s="3"/>
    </row>
    <row r="621" spans="1:55" ht="12.95" customHeight="1">
      <c r="B621" t="s">
        <v>315</v>
      </c>
      <c r="G621" s="1310"/>
      <c r="H621" s="1310"/>
      <c r="I621" s="1310"/>
      <c r="J621" s="1310"/>
      <c r="K621" s="1310"/>
      <c r="L621" s="1310"/>
      <c r="O621" s="33" t="s">
        <v>205</v>
      </c>
      <c r="P621" s="1336"/>
      <c r="Q621" s="1336"/>
      <c r="R621" s="1336"/>
      <c r="U621" t="s">
        <v>315</v>
      </c>
      <c r="Z621" s="1310"/>
      <c r="AA621" s="1310"/>
      <c r="AB621" s="1310"/>
      <c r="AC621" s="1310"/>
      <c r="AD621" s="1310"/>
      <c r="AE621" s="1310"/>
      <c r="AH621" s="33" t="s">
        <v>205</v>
      </c>
      <c r="AI621" s="1336"/>
      <c r="AJ621" s="1336"/>
      <c r="AK621" s="1336"/>
      <c r="AZ621" s="3"/>
      <c r="BA621" s="3"/>
      <c r="BB621" s="3"/>
      <c r="BC621" s="3"/>
    </row>
    <row r="622" spans="1:55" ht="12.95" customHeight="1">
      <c r="B622" t="s">
        <v>18</v>
      </c>
      <c r="H622" s="1348"/>
      <c r="I622" s="1348"/>
      <c r="J622" s="1348"/>
      <c r="K622" s="1348"/>
      <c r="L622" s="1348"/>
      <c r="M622" s="1348"/>
      <c r="N622" s="1348"/>
      <c r="O622" s="1348"/>
      <c r="P622" s="1348"/>
      <c r="Q622" s="1348"/>
      <c r="R622" s="1348"/>
      <c r="U622" t="s">
        <v>18</v>
      </c>
      <c r="AA622" s="1348"/>
      <c r="AB622" s="1348"/>
      <c r="AC622" s="1348"/>
      <c r="AD622" s="1348"/>
      <c r="AE622" s="1348"/>
      <c r="AF622" s="1348"/>
      <c r="AG622" s="1348"/>
      <c r="AH622" s="1348"/>
      <c r="AI622" s="1348"/>
      <c r="AJ622" s="1348"/>
      <c r="AK622" s="1348"/>
      <c r="AU622" s="895"/>
      <c r="AV622" s="895"/>
      <c r="AW622" s="895"/>
      <c r="AX622" s="895"/>
      <c r="AY622" s="895"/>
      <c r="AZ622" s="3"/>
      <c r="BA622" s="3"/>
      <c r="BB622" s="3"/>
      <c r="BC622" s="3"/>
    </row>
    <row r="623" spans="1:55" ht="12.95" customHeight="1">
      <c r="B623" t="s">
        <v>20</v>
      </c>
      <c r="N623" s="1306" t="s">
        <v>667</v>
      </c>
      <c r="O623" s="1306"/>
      <c r="U623" t="s">
        <v>20</v>
      </c>
      <c r="AG623" s="1306" t="s">
        <v>667</v>
      </c>
      <c r="AH623" s="1306"/>
      <c r="AU623" s="895"/>
      <c r="AV623" s="895"/>
      <c r="AW623" s="895"/>
      <c r="AX623" s="895"/>
      <c r="AY623" s="895"/>
      <c r="AZ623" s="3"/>
      <c r="BA623" s="3"/>
      <c r="BB623" s="3"/>
      <c r="BC623" s="3"/>
    </row>
    <row r="624" spans="1:55" ht="12.95" customHeight="1">
      <c r="AZ624" s="3"/>
      <c r="BA624" s="3"/>
      <c r="BB624" s="3"/>
      <c r="BC624" s="3"/>
    </row>
    <row r="625" spans="1:56" ht="12.95" customHeight="1">
      <c r="A625" s="1586" t="s">
        <v>542</v>
      </c>
      <c r="B625" s="1586"/>
      <c r="C625" s="1586"/>
      <c r="D625" s="1586"/>
      <c r="E625" s="1586"/>
      <c r="F625" s="1586"/>
      <c r="G625" s="1586"/>
      <c r="H625" s="1586"/>
      <c r="I625" s="1586"/>
      <c r="J625" s="1586"/>
      <c r="K625" s="1586"/>
      <c r="L625" s="1586"/>
      <c r="M625" s="1586"/>
      <c r="N625" s="1586"/>
      <c r="O625" s="1586"/>
      <c r="P625" s="1586"/>
      <c r="Q625" s="1586"/>
      <c r="R625" s="1586"/>
      <c r="S625" s="1586"/>
      <c r="T625" s="1586"/>
      <c r="U625" s="1586"/>
      <c r="V625" s="1586"/>
      <c r="W625" s="1586"/>
      <c r="X625" s="1586"/>
      <c r="Y625" s="1586"/>
      <c r="Z625" s="1586"/>
      <c r="AA625" s="1586"/>
      <c r="AB625" s="1586"/>
      <c r="AC625" s="1586"/>
      <c r="AD625" s="1586"/>
      <c r="AE625" s="1586"/>
      <c r="AF625" s="1586"/>
      <c r="AG625" s="1586"/>
      <c r="AH625" s="1586"/>
      <c r="AI625" s="1586"/>
      <c r="AJ625" s="1586"/>
      <c r="AK625" s="1586"/>
      <c r="AL625" s="1586"/>
      <c r="AM625" s="1586"/>
      <c r="AN625" s="1586"/>
      <c r="AO625" s="1586"/>
      <c r="AP625" s="1586"/>
      <c r="AQ625" s="1586"/>
      <c r="AR625" s="1586"/>
      <c r="AS625" s="1586"/>
      <c r="AT625" s="1586"/>
      <c r="AZ625" s="3"/>
      <c r="BA625" s="3"/>
      <c r="BB625" s="3"/>
      <c r="BC625" s="3"/>
    </row>
    <row r="626" spans="1:56" ht="12.95" customHeight="1">
      <c r="A626" s="1586"/>
      <c r="B626" s="1586"/>
      <c r="C626" s="1586"/>
      <c r="D626" s="1586"/>
      <c r="E626" s="1586"/>
      <c r="F626" s="1586"/>
      <c r="G626" s="1586"/>
      <c r="H626" s="1586"/>
      <c r="I626" s="1586"/>
      <c r="J626" s="1586"/>
      <c r="K626" s="1586"/>
      <c r="L626" s="1586"/>
      <c r="M626" s="1586"/>
      <c r="N626" s="1586"/>
      <c r="O626" s="1586"/>
      <c r="P626" s="1586"/>
      <c r="Q626" s="1586"/>
      <c r="R626" s="1586"/>
      <c r="S626" s="1586"/>
      <c r="T626" s="1586"/>
      <c r="U626" s="1586"/>
      <c r="V626" s="1586"/>
      <c r="W626" s="1586"/>
      <c r="X626" s="1586"/>
      <c r="Y626" s="1586"/>
      <c r="Z626" s="1586"/>
      <c r="AA626" s="1586"/>
      <c r="AB626" s="1586"/>
      <c r="AC626" s="1586"/>
      <c r="AD626" s="1586"/>
      <c r="AE626" s="1586"/>
      <c r="AF626" s="1586"/>
      <c r="AG626" s="1586"/>
      <c r="AH626" s="1586"/>
      <c r="AI626" s="1586"/>
      <c r="AJ626" s="1586"/>
      <c r="AK626" s="1586"/>
      <c r="AL626" s="1586"/>
      <c r="AM626" s="1586"/>
      <c r="AN626" s="1586"/>
      <c r="AO626" s="1586"/>
      <c r="AP626" s="1586"/>
      <c r="AQ626" s="1586"/>
      <c r="AR626" s="1586"/>
      <c r="AS626" s="1586"/>
      <c r="AT626" s="1586"/>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2053</v>
      </c>
      <c r="AZ630" s="3"/>
      <c r="BA630" s="3"/>
      <c r="BB630" s="3"/>
      <c r="BC630" s="3"/>
    </row>
    <row r="631" spans="1:56" ht="12.95" customHeight="1">
      <c r="B631" s="512"/>
      <c r="C631" s="2"/>
      <c r="AU631" s="3"/>
      <c r="AZ631" s="3"/>
      <c r="BA631" s="3"/>
      <c r="BB631" s="3"/>
      <c r="BC631" s="3"/>
    </row>
    <row r="632" spans="1:56" ht="12.95" customHeight="1">
      <c r="B632" s="1767" t="s">
        <v>2055</v>
      </c>
      <c r="C632" s="1767"/>
      <c r="D632" s="1767"/>
      <c r="E632" s="1767"/>
      <c r="F632" s="1767"/>
      <c r="G632" s="1767"/>
      <c r="H632" s="1767"/>
      <c r="I632" s="1767"/>
      <c r="J632" s="1767"/>
      <c r="K632" s="1767"/>
      <c r="L632" s="1767"/>
      <c r="M632" s="1599" t="s">
        <v>2056</v>
      </c>
      <c r="N632" s="1599"/>
      <c r="O632" s="1599"/>
      <c r="P632" s="1599"/>
      <c r="Q632" s="1599" t="s">
        <v>1826</v>
      </c>
      <c r="R632" s="1599"/>
      <c r="S632" s="1599"/>
      <c r="T632" s="1599" t="s">
        <v>1824</v>
      </c>
      <c r="U632" s="1599"/>
      <c r="V632" s="1599"/>
      <c r="W632" s="1598" t="s">
        <v>451</v>
      </c>
      <c r="X632" s="1598"/>
      <c r="Y632" s="1598"/>
      <c r="Z632" s="1338" t="s">
        <v>2085</v>
      </c>
      <c r="AA632" s="1338"/>
      <c r="AB632" s="1339"/>
      <c r="AC632" s="1768" t="s">
        <v>1663</v>
      </c>
      <c r="AD632" s="1769"/>
      <c r="AE632" s="1770"/>
      <c r="AF632" s="1337" t="s">
        <v>1901</v>
      </c>
      <c r="AG632" s="1338"/>
      <c r="AH632" s="1338"/>
      <c r="AI632" s="1338"/>
      <c r="AJ632" s="1339"/>
      <c r="AK632" s="1588" t="s">
        <v>1902</v>
      </c>
      <c r="AL632" s="1589"/>
      <c r="AM632" s="1589"/>
      <c r="AN632" s="1590"/>
      <c r="AO632" s="1599" t="s">
        <v>452</v>
      </c>
      <c r="AP632" s="1599"/>
      <c r="AQ632" s="1599"/>
      <c r="AR632" s="1599"/>
      <c r="AS632" s="1599"/>
      <c r="AU632" s="3"/>
      <c r="AZ632" s="3"/>
      <c r="BA632" s="3"/>
      <c r="BB632" s="3"/>
      <c r="BC632" s="3"/>
    </row>
    <row r="633" spans="1:56" ht="12.95" customHeight="1">
      <c r="B633" s="1767"/>
      <c r="C633" s="1767"/>
      <c r="D633" s="1767"/>
      <c r="E633" s="1767"/>
      <c r="F633" s="1767"/>
      <c r="G633" s="1767"/>
      <c r="H633" s="1767"/>
      <c r="I633" s="1767"/>
      <c r="J633" s="1767"/>
      <c r="K633" s="1767"/>
      <c r="L633" s="1767"/>
      <c r="M633" s="1599"/>
      <c r="N633" s="1599"/>
      <c r="O633" s="1599"/>
      <c r="P633" s="1599"/>
      <c r="Q633" s="1599"/>
      <c r="R633" s="1599"/>
      <c r="S633" s="1599"/>
      <c r="T633" s="1599"/>
      <c r="U633" s="1599"/>
      <c r="V633" s="1599"/>
      <c r="W633" s="1598"/>
      <c r="X633" s="1598"/>
      <c r="Y633" s="1598"/>
      <c r="Z633" s="1341"/>
      <c r="AA633" s="1341"/>
      <c r="AB633" s="1342"/>
      <c r="AC633" s="1771"/>
      <c r="AD633" s="1772"/>
      <c r="AE633" s="1773"/>
      <c r="AF633" s="1340"/>
      <c r="AG633" s="1341"/>
      <c r="AH633" s="1341"/>
      <c r="AI633" s="1341"/>
      <c r="AJ633" s="1342"/>
      <c r="AK633" s="1591"/>
      <c r="AL633" s="1592"/>
      <c r="AM633" s="1592"/>
      <c r="AN633" s="1593"/>
      <c r="AO633" s="1599"/>
      <c r="AP633" s="1599"/>
      <c r="AQ633" s="1599"/>
      <c r="AR633" s="1599"/>
      <c r="AS633" s="1599"/>
      <c r="AU633" s="3"/>
      <c r="AZ633" s="3"/>
      <c r="BA633" s="3"/>
      <c r="BB633" s="3"/>
      <c r="BC633" s="3"/>
      <c r="BD633" s="3"/>
    </row>
    <row r="634" spans="1:56" ht="12.95" customHeight="1">
      <c r="B634" s="1767"/>
      <c r="C634" s="1767"/>
      <c r="D634" s="1767"/>
      <c r="E634" s="1767"/>
      <c r="F634" s="1767"/>
      <c r="G634" s="1767"/>
      <c r="H634" s="1767"/>
      <c r="I634" s="1767"/>
      <c r="J634" s="1767"/>
      <c r="K634" s="1767"/>
      <c r="L634" s="1767"/>
      <c r="M634" s="1599"/>
      <c r="N634" s="1599"/>
      <c r="O634" s="1599"/>
      <c r="P634" s="1599"/>
      <c r="Q634" s="1599"/>
      <c r="R634" s="1599"/>
      <c r="S634" s="1599"/>
      <c r="T634" s="1599"/>
      <c r="U634" s="1599"/>
      <c r="V634" s="1599"/>
      <c r="W634" s="1598"/>
      <c r="X634" s="1598"/>
      <c r="Y634" s="1598"/>
      <c r="Z634" s="1344"/>
      <c r="AA634" s="1344"/>
      <c r="AB634" s="1345"/>
      <c r="AC634" s="1774"/>
      <c r="AD634" s="1775"/>
      <c r="AE634" s="1776"/>
      <c r="AF634" s="1343"/>
      <c r="AG634" s="1344"/>
      <c r="AH634" s="1344"/>
      <c r="AI634" s="1344"/>
      <c r="AJ634" s="1345"/>
      <c r="AK634" s="1594"/>
      <c r="AL634" s="1595"/>
      <c r="AM634" s="1595"/>
      <c r="AN634" s="1596"/>
      <c r="AO634" s="1599"/>
      <c r="AP634" s="1599"/>
      <c r="AQ634" s="1599"/>
      <c r="AR634" s="1599"/>
      <c r="AS634" s="1599"/>
      <c r="AT634" s="3"/>
      <c r="AU634" s="3"/>
      <c r="AZ634" s="3"/>
      <c r="BA634" s="3"/>
      <c r="BB634" s="3"/>
      <c r="BC634" s="3"/>
      <c r="BD634" s="3"/>
    </row>
    <row r="635" spans="1:56" ht="12.95" customHeight="1">
      <c r="B635" s="51" t="s">
        <v>112</v>
      </c>
      <c r="C635" s="1597" t="s">
        <v>2716</v>
      </c>
      <c r="D635" s="1597"/>
      <c r="E635" s="1597"/>
      <c r="F635" s="1597"/>
      <c r="G635" s="1597"/>
      <c r="H635" s="1597"/>
      <c r="I635" s="1597"/>
      <c r="J635" s="1597"/>
      <c r="K635" s="1597"/>
      <c r="L635" s="1597"/>
      <c r="M635" s="1512" t="s">
        <v>2072</v>
      </c>
      <c r="N635" s="1512"/>
      <c r="O635" s="1512"/>
      <c r="P635" s="1512"/>
      <c r="Q635" s="1477">
        <f>16*12</f>
        <v>192</v>
      </c>
      <c r="R635" s="1477"/>
      <c r="S635" s="1536"/>
      <c r="T635" s="1535">
        <f>40*12</f>
        <v>480</v>
      </c>
      <c r="U635" s="1477"/>
      <c r="V635" s="1536"/>
      <c r="W635" s="1307">
        <v>6.0600000000000001E-2</v>
      </c>
      <c r="X635" s="1308"/>
      <c r="Y635" s="1309"/>
      <c r="Z635" s="1417" t="s">
        <v>2084</v>
      </c>
      <c r="AA635" s="1418"/>
      <c r="AB635" s="1419"/>
      <c r="AC635" s="1396">
        <v>1</v>
      </c>
      <c r="AD635" s="1397"/>
      <c r="AE635" s="1398"/>
      <c r="AF635" s="1370">
        <v>2049069.635222693</v>
      </c>
      <c r="AG635" s="1371"/>
      <c r="AH635" s="1371"/>
      <c r="AI635" s="1371"/>
      <c r="AJ635" s="1372"/>
      <c r="AK635" s="1364"/>
      <c r="AL635" s="1365"/>
      <c r="AM635" s="1365"/>
      <c r="AN635" s="1366"/>
      <c r="AO635" s="1545">
        <v>30800000</v>
      </c>
      <c r="AP635" s="1545"/>
      <c r="AQ635" s="1545"/>
      <c r="AR635" s="1545"/>
      <c r="AS635" s="1545"/>
      <c r="AT635" s="3"/>
      <c r="AU635" s="3"/>
      <c r="AZ635" s="3"/>
      <c r="BA635" s="3"/>
      <c r="BB635" s="3"/>
      <c r="BC635" s="3"/>
      <c r="BD635" s="3"/>
    </row>
    <row r="636" spans="1:56" ht="12.95" customHeight="1">
      <c r="B636" s="52" t="s">
        <v>113</v>
      </c>
      <c r="C636" s="1597" t="s">
        <v>2716</v>
      </c>
      <c r="D636" s="1597"/>
      <c r="E636" s="1597"/>
      <c r="F636" s="1597"/>
      <c r="G636" s="1597"/>
      <c r="H636" s="1597"/>
      <c r="I636" s="1597"/>
      <c r="J636" s="1597"/>
      <c r="K636" s="1597"/>
      <c r="L636" s="1597"/>
      <c r="M636" s="1512" t="s">
        <v>2073</v>
      </c>
      <c r="N636" s="1512"/>
      <c r="O636" s="1512"/>
      <c r="P636" s="1512"/>
      <c r="Q636" s="1535">
        <f>16*12</f>
        <v>192</v>
      </c>
      <c r="R636" s="1477"/>
      <c r="S636" s="1536"/>
      <c r="T636" s="1535">
        <f>40*12</f>
        <v>480</v>
      </c>
      <c r="U636" s="1477"/>
      <c r="V636" s="1536"/>
      <c r="W636" s="1307">
        <v>6.0600000000000001E-2</v>
      </c>
      <c r="X636" s="1308"/>
      <c r="Y636" s="1309"/>
      <c r="Z636" s="1417" t="s">
        <v>2084</v>
      </c>
      <c r="AA636" s="1418"/>
      <c r="AB636" s="1419"/>
      <c r="AC636" s="1396">
        <v>1</v>
      </c>
      <c r="AD636" s="1397"/>
      <c r="AE636" s="1398"/>
      <c r="AF636" s="1370">
        <v>199584.70472948308</v>
      </c>
      <c r="AG636" s="1371"/>
      <c r="AH636" s="1371"/>
      <c r="AI636" s="1371"/>
      <c r="AJ636" s="1372"/>
      <c r="AK636" s="1364"/>
      <c r="AL636" s="1365"/>
      <c r="AM636" s="1365"/>
      <c r="AN636" s="1366"/>
      <c r="AO636" s="1416">
        <v>3000000</v>
      </c>
      <c r="AP636" s="1273"/>
      <c r="AQ636" s="1273"/>
      <c r="AR636" s="1273"/>
      <c r="AS636" s="1274"/>
      <c r="AT636" s="1142" t="str">
        <f>IF(AND(NOT(C635=""),C636="",NOT(C637="")),"!","")</f>
        <v/>
      </c>
      <c r="AU636" s="3"/>
      <c r="AZ636" s="3"/>
      <c r="BA636" s="3"/>
      <c r="BB636" s="3"/>
      <c r="BC636" s="3"/>
      <c r="BD636" s="3"/>
    </row>
    <row r="637" spans="1:56" ht="12.95" customHeight="1">
      <c r="B637" s="52" t="s">
        <v>119</v>
      </c>
      <c r="C637" s="1597" t="s">
        <v>2716</v>
      </c>
      <c r="D637" s="1597"/>
      <c r="E637" s="1597"/>
      <c r="F637" s="1597"/>
      <c r="G637" s="1597"/>
      <c r="H637" s="1597"/>
      <c r="I637" s="1597"/>
      <c r="J637" s="1597"/>
      <c r="K637" s="1597"/>
      <c r="L637" s="1597"/>
      <c r="M637" s="1512" t="s">
        <v>2071</v>
      </c>
      <c r="N637" s="1512"/>
      <c r="O637" s="1512"/>
      <c r="P637" s="1512"/>
      <c r="Q637" s="1535">
        <f>16*12</f>
        <v>192</v>
      </c>
      <c r="R637" s="1477"/>
      <c r="S637" s="1536"/>
      <c r="T637" s="1535">
        <f>40*12</f>
        <v>480</v>
      </c>
      <c r="U637" s="1477"/>
      <c r="V637" s="1536"/>
      <c r="W637" s="1307">
        <v>6.5600000000000006E-2</v>
      </c>
      <c r="X637" s="1308"/>
      <c r="Y637" s="1309"/>
      <c r="Z637" s="1417" t="s">
        <v>2084</v>
      </c>
      <c r="AA637" s="1418"/>
      <c r="AB637" s="1419"/>
      <c r="AC637" s="1396">
        <v>2</v>
      </c>
      <c r="AD637" s="1397"/>
      <c r="AE637" s="1398"/>
      <c r="AF637" s="1370">
        <v>350398.1975173899</v>
      </c>
      <c r="AG637" s="1371"/>
      <c r="AH637" s="1371"/>
      <c r="AI637" s="1371"/>
      <c r="AJ637" s="1372"/>
      <c r="AK637" s="1364"/>
      <c r="AL637" s="1365"/>
      <c r="AM637" s="1365"/>
      <c r="AN637" s="1366"/>
      <c r="AO637" s="1416">
        <v>4951339</v>
      </c>
      <c r="AP637" s="1273"/>
      <c r="AQ637" s="1273"/>
      <c r="AR637" s="1273"/>
      <c r="AS637" s="1274"/>
      <c r="AT637" s="1142" t="str">
        <f t="shared" ref="AT637:AT646" si="3">IF(AND(NOT(C636=""),C637="",NOT(C638="")),"!","")</f>
        <v/>
      </c>
      <c r="AU637" s="3"/>
      <c r="AZ637" s="3"/>
      <c r="BA637" s="3"/>
      <c r="BB637" s="3"/>
      <c r="BC637" s="3"/>
      <c r="BD637" s="3"/>
    </row>
    <row r="638" spans="1:56" ht="12.95" customHeight="1">
      <c r="B638" s="52" t="s">
        <v>579</v>
      </c>
      <c r="C638" s="1597" t="s">
        <v>2757</v>
      </c>
      <c r="D638" s="1516"/>
      <c r="E638" s="1516"/>
      <c r="F638" s="1516"/>
      <c r="G638" s="1516"/>
      <c r="H638" s="1516"/>
      <c r="I638" s="1516"/>
      <c r="J638" s="1516"/>
      <c r="K638" s="1516"/>
      <c r="L638" s="1516"/>
      <c r="M638" s="1512" t="s">
        <v>2073</v>
      </c>
      <c r="N638" s="1512"/>
      <c r="O638" s="1512"/>
      <c r="P638" s="1512"/>
      <c r="Q638" s="1535">
        <f>+Q637</f>
        <v>192</v>
      </c>
      <c r="R638" s="1477"/>
      <c r="S638" s="1536"/>
      <c r="T638" s="1535">
        <v>480</v>
      </c>
      <c r="U638" s="1477"/>
      <c r="V638" s="1536"/>
      <c r="W638" s="1307">
        <v>0.08</v>
      </c>
      <c r="X638" s="1308"/>
      <c r="Y638" s="1309"/>
      <c r="Z638" s="1417" t="s">
        <v>455</v>
      </c>
      <c r="AA638" s="1418"/>
      <c r="AB638" s="1419"/>
      <c r="AC638" s="1396">
        <v>3</v>
      </c>
      <c r="AD638" s="1397"/>
      <c r="AE638" s="1398"/>
      <c r="AF638" s="1370"/>
      <c r="AG638" s="1371"/>
      <c r="AH638" s="1371"/>
      <c r="AI638" s="1371"/>
      <c r="AJ638" s="1372"/>
      <c r="AK638" s="1364"/>
      <c r="AL638" s="1365"/>
      <c r="AM638" s="1365"/>
      <c r="AN638" s="1366"/>
      <c r="AO638" s="1416">
        <v>7000000</v>
      </c>
      <c r="AP638" s="1273"/>
      <c r="AQ638" s="1273"/>
      <c r="AR638" s="1273"/>
      <c r="AS638" s="1274"/>
      <c r="AT638" s="1142" t="str">
        <f t="shared" si="3"/>
        <v/>
      </c>
      <c r="AU638" s="3"/>
      <c r="AZ638" s="3"/>
      <c r="BA638" s="3"/>
      <c r="BB638" s="3"/>
      <c r="BC638" s="3"/>
      <c r="BD638" s="3"/>
    </row>
    <row r="639" spans="1:56" ht="12.95" customHeight="1">
      <c r="B639" s="52" t="s">
        <v>761</v>
      </c>
      <c r="C639" s="1597" t="s">
        <v>2650</v>
      </c>
      <c r="D639" s="1516"/>
      <c r="E639" s="1516"/>
      <c r="F639" s="1516"/>
      <c r="G639" s="1516"/>
      <c r="H639" s="1516"/>
      <c r="I639" s="1516"/>
      <c r="J639" s="1516"/>
      <c r="K639" s="1516"/>
      <c r="L639" s="1516"/>
      <c r="M639" s="1512" t="s">
        <v>2074</v>
      </c>
      <c r="N639" s="1512"/>
      <c r="O639" s="1512"/>
      <c r="P639" s="1512"/>
      <c r="Q639" s="1535"/>
      <c r="R639" s="1477"/>
      <c r="S639" s="1536"/>
      <c r="T639" s="1535"/>
      <c r="U639" s="1477"/>
      <c r="V639" s="1536"/>
      <c r="W639" s="1307"/>
      <c r="X639" s="1308"/>
      <c r="Y639" s="1309"/>
      <c r="Z639" s="1417" t="s">
        <v>299</v>
      </c>
      <c r="AA639" s="1418"/>
      <c r="AB639" s="1419"/>
      <c r="AC639" s="1396"/>
      <c r="AD639" s="1397"/>
      <c r="AE639" s="1398"/>
      <c r="AF639" s="1370"/>
      <c r="AG639" s="1371"/>
      <c r="AH639" s="1371"/>
      <c r="AI639" s="1371"/>
      <c r="AJ639" s="1372"/>
      <c r="AK639" s="1364"/>
      <c r="AL639" s="1365"/>
      <c r="AM639" s="1365"/>
      <c r="AN639" s="1366"/>
      <c r="AO639" s="1416">
        <f>1577471+5707</f>
        <v>1583178</v>
      </c>
      <c r="AP639" s="1273"/>
      <c r="AQ639" s="1273"/>
      <c r="AR639" s="1273"/>
      <c r="AS639" s="1274"/>
      <c r="AT639" s="1142" t="str">
        <f t="shared" si="3"/>
        <v/>
      </c>
      <c r="AU639" s="3"/>
      <c r="AZ639" s="3"/>
      <c r="BA639" s="3"/>
      <c r="BB639" s="3"/>
      <c r="BC639" s="3"/>
      <c r="BD639" s="3"/>
    </row>
    <row r="640" spans="1:56" ht="12.95" customHeight="1">
      <c r="B640" s="52" t="s">
        <v>582</v>
      </c>
      <c r="C640" s="1597" t="s">
        <v>2648</v>
      </c>
      <c r="D640" s="1516"/>
      <c r="E640" s="1516"/>
      <c r="F640" s="1516"/>
      <c r="G640" s="1516"/>
      <c r="H640" s="1516"/>
      <c r="I640" s="1516"/>
      <c r="J640" s="1516"/>
      <c r="K640" s="1516"/>
      <c r="L640" s="1516"/>
      <c r="M640" s="1512" t="s">
        <v>2075</v>
      </c>
      <c r="N640" s="1512"/>
      <c r="O640" s="1512"/>
      <c r="P640" s="1512"/>
      <c r="Q640" s="1535"/>
      <c r="R640" s="1477"/>
      <c r="S640" s="1536"/>
      <c r="T640" s="1535"/>
      <c r="U640" s="1477"/>
      <c r="V640" s="1536"/>
      <c r="W640" s="1307"/>
      <c r="X640" s="1308"/>
      <c r="Y640" s="1309"/>
      <c r="Z640" s="1417" t="s">
        <v>299</v>
      </c>
      <c r="AA640" s="1418"/>
      <c r="AB640" s="1419"/>
      <c r="AC640" s="1396"/>
      <c r="AD640" s="1397"/>
      <c r="AE640" s="1398"/>
      <c r="AF640" s="1370"/>
      <c r="AG640" s="1371"/>
      <c r="AH640" s="1371"/>
      <c r="AI640" s="1371"/>
      <c r="AJ640" s="1372"/>
      <c r="AK640" s="1364"/>
      <c r="AL640" s="1365"/>
      <c r="AM640" s="1365"/>
      <c r="AN640" s="1366"/>
      <c r="AO640" s="1416">
        <v>3465000</v>
      </c>
      <c r="AP640" s="1273"/>
      <c r="AQ640" s="1273"/>
      <c r="AR640" s="1273"/>
      <c r="AS640" s="1274"/>
      <c r="AT640" s="1142" t="str">
        <f t="shared" si="3"/>
        <v/>
      </c>
      <c r="AU640" s="3"/>
      <c r="AZ640" s="3"/>
      <c r="BA640" s="3"/>
      <c r="BB640" s="3"/>
      <c r="BC640" s="3"/>
      <c r="BD640" s="3"/>
    </row>
    <row r="641" spans="1:157" ht="12.95" customHeight="1">
      <c r="B641" s="52" t="s">
        <v>453</v>
      </c>
      <c r="C641" s="1597" t="s">
        <v>2259</v>
      </c>
      <c r="D641" s="1516"/>
      <c r="E641" s="1516"/>
      <c r="F641" s="1516"/>
      <c r="G641" s="1516"/>
      <c r="H641" s="1516"/>
      <c r="I641" s="1516"/>
      <c r="J641" s="1516"/>
      <c r="K641" s="1516"/>
      <c r="L641" s="1516"/>
      <c r="M641" s="1512" t="s">
        <v>2059</v>
      </c>
      <c r="N641" s="1512"/>
      <c r="O641" s="1512"/>
      <c r="P641" s="1512"/>
      <c r="Q641" s="1535">
        <v>180</v>
      </c>
      <c r="R641" s="1477"/>
      <c r="S641" s="1536"/>
      <c r="T641" s="1535">
        <v>180</v>
      </c>
      <c r="U641" s="1477"/>
      <c r="V641" s="1536"/>
      <c r="W641" s="1307">
        <v>0.08</v>
      </c>
      <c r="X641" s="1308"/>
      <c r="Y641" s="1309"/>
      <c r="Z641" s="1417" t="s">
        <v>456</v>
      </c>
      <c r="AA641" s="1418"/>
      <c r="AB641" s="1419"/>
      <c r="AC641" s="1396"/>
      <c r="AD641" s="1397"/>
      <c r="AE641" s="1398"/>
      <c r="AF641" s="1370"/>
      <c r="AG641" s="1371"/>
      <c r="AH641" s="1371"/>
      <c r="AI641" s="1371"/>
      <c r="AJ641" s="1372"/>
      <c r="AK641" s="1364"/>
      <c r="AL641" s="1365"/>
      <c r="AM641" s="1365"/>
      <c r="AN641" s="1366"/>
      <c r="AO641" s="1416">
        <v>9562124</v>
      </c>
      <c r="AP641" s="1273"/>
      <c r="AQ641" s="1273"/>
      <c r="AR641" s="1273"/>
      <c r="AS641" s="1274"/>
      <c r="AT641" s="1142" t="str">
        <f t="shared" si="3"/>
        <v/>
      </c>
      <c r="AU641" s="3"/>
      <c r="AV641" s="3"/>
      <c r="AW641" s="3"/>
      <c r="AX641" s="3"/>
      <c r="AY641" s="3"/>
      <c r="AZ641" s="3"/>
      <c r="BA641" s="3"/>
      <c r="BB641" s="3"/>
      <c r="BC641" s="3"/>
      <c r="BD641" s="3"/>
    </row>
    <row r="642" spans="1:157" ht="12.95" customHeight="1">
      <c r="B642" s="52" t="s">
        <v>454</v>
      </c>
      <c r="C642" s="1597"/>
      <c r="D642" s="1516"/>
      <c r="E642" s="1516"/>
      <c r="F642" s="1516"/>
      <c r="G642" s="1516"/>
      <c r="H642" s="1516"/>
      <c r="I642" s="1516"/>
      <c r="J642" s="1516"/>
      <c r="K642" s="1516"/>
      <c r="L642" s="1516"/>
      <c r="M642" s="1512" t="s">
        <v>1182</v>
      </c>
      <c r="N642" s="1512"/>
      <c r="O642" s="1512"/>
      <c r="P642" s="1512"/>
      <c r="Q642" s="1535"/>
      <c r="R642" s="1477"/>
      <c r="S642" s="1536"/>
      <c r="T642" s="1535"/>
      <c r="U642" s="1477"/>
      <c r="V642" s="1536"/>
      <c r="W642" s="1307"/>
      <c r="X642" s="1308"/>
      <c r="Y642" s="1309"/>
      <c r="Z642" s="1417" t="s">
        <v>1182</v>
      </c>
      <c r="AA642" s="1418"/>
      <c r="AB642" s="1419"/>
      <c r="AC642" s="1396"/>
      <c r="AD642" s="1397"/>
      <c r="AE642" s="1398"/>
      <c r="AF642" s="1370"/>
      <c r="AG642" s="1371"/>
      <c r="AH642" s="1371"/>
      <c r="AI642" s="1371"/>
      <c r="AJ642" s="1372"/>
      <c r="AK642" s="1364"/>
      <c r="AL642" s="1365"/>
      <c r="AM642" s="1365"/>
      <c r="AN642" s="1366"/>
      <c r="AO642" s="1416"/>
      <c r="AP642" s="1273"/>
      <c r="AQ642" s="1273"/>
      <c r="AR642" s="1273"/>
      <c r="AS642" s="1274"/>
      <c r="AT642" s="1142" t="str">
        <f t="shared" si="3"/>
        <v/>
      </c>
      <c r="AU642" s="3"/>
      <c r="AV642" s="3"/>
      <c r="AW642" s="3"/>
      <c r="AX642" s="3"/>
      <c r="AY642" s="3"/>
      <c r="AZ642" s="3"/>
      <c r="BA642" s="3" t="s">
        <v>1182</v>
      </c>
      <c r="BB642" s="3"/>
      <c r="BC642" s="3"/>
      <c r="BD642" s="3"/>
    </row>
    <row r="643" spans="1:157" ht="12.95" customHeight="1">
      <c r="B643" s="52" t="s">
        <v>459</v>
      </c>
      <c r="C643" s="1516"/>
      <c r="D643" s="1516"/>
      <c r="E643" s="1516"/>
      <c r="F643" s="1516"/>
      <c r="G643" s="1516"/>
      <c r="H643" s="1516"/>
      <c r="I643" s="1516"/>
      <c r="J643" s="1516"/>
      <c r="K643" s="1516"/>
      <c r="L643" s="1516"/>
      <c r="M643" s="1512" t="s">
        <v>1182</v>
      </c>
      <c r="N643" s="1512"/>
      <c r="O643" s="1512"/>
      <c r="P643" s="1512"/>
      <c r="Q643" s="1535"/>
      <c r="R643" s="1477"/>
      <c r="S643" s="1536"/>
      <c r="T643" s="1535"/>
      <c r="U643" s="1477"/>
      <c r="V643" s="1536"/>
      <c r="W643" s="1307"/>
      <c r="X643" s="1308"/>
      <c r="Y643" s="1309"/>
      <c r="Z643" s="1417" t="s">
        <v>1182</v>
      </c>
      <c r="AA643" s="1418"/>
      <c r="AB643" s="1419"/>
      <c r="AC643" s="1396"/>
      <c r="AD643" s="1397"/>
      <c r="AE643" s="1398"/>
      <c r="AF643" s="1370"/>
      <c r="AG643" s="1371"/>
      <c r="AH643" s="1371"/>
      <c r="AI643" s="1371"/>
      <c r="AJ643" s="1372"/>
      <c r="AK643" s="1364"/>
      <c r="AL643" s="1365"/>
      <c r="AM643" s="1365"/>
      <c r="AN643" s="1366"/>
      <c r="AO643" s="1416"/>
      <c r="AP643" s="1273"/>
      <c r="AQ643" s="1273"/>
      <c r="AR643" s="1273"/>
      <c r="AS643" s="1274"/>
      <c r="AT643" s="1142" t="str">
        <f t="shared" si="3"/>
        <v/>
      </c>
      <c r="AU643" s="3"/>
      <c r="AV643" s="3"/>
      <c r="AW643" s="3"/>
      <c r="AX643" s="3"/>
      <c r="AY643" s="3"/>
      <c r="AZ643" s="34"/>
      <c r="BA643" s="3" t="s">
        <v>456</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5" t="e">
        <f t="shared" ref="DX643:DX677" si="4">EZ726*(CP726/$CP$761)</f>
        <v>#VALUE!</v>
      </c>
      <c r="DY643" s="1295"/>
      <c r="DZ643" s="1295"/>
      <c r="EA643" s="1295"/>
      <c r="EB643" s="1295"/>
      <c r="EC643" s="1295">
        <f t="shared" ref="EC643:EC677" si="5">FE726*(CU726/$CU$761)</f>
        <v>301</v>
      </c>
      <c r="ED643" s="1295"/>
      <c r="EE643" s="1295"/>
      <c r="EF643" s="1295"/>
      <c r="EG643" s="1295"/>
      <c r="EH643" s="1295" t="e">
        <f t="shared" ref="EH643:EH677" si="6">FJ726*(CZ726/$CZ$761)</f>
        <v>#VALUE!</v>
      </c>
      <c r="EI643" s="1295"/>
      <c r="EJ643" s="1295"/>
      <c r="EK643" s="1295"/>
      <c r="EL643" s="1295"/>
      <c r="EM643" s="1295" t="e">
        <f t="shared" ref="EM643:EM677" si="7">FO726*(DE726/$DE$761)</f>
        <v>#VALUE!</v>
      </c>
      <c r="EN643" s="1295"/>
      <c r="EO643" s="1295"/>
      <c r="EP643" s="1295"/>
      <c r="EQ643" s="1295"/>
      <c r="ER643" s="1295" t="e">
        <f t="shared" ref="ER643:ER677" si="8">FT726*(DJ726/$DJ$761)</f>
        <v>#VALUE!</v>
      </c>
      <c r="ES643" s="1295"/>
      <c r="ET643" s="1295"/>
      <c r="EU643" s="1295"/>
      <c r="EV643" s="1295"/>
      <c r="EW643" s="1295" t="e">
        <f t="shared" ref="EW643:EW677" si="9">FY726*(DO726/$DO$761)</f>
        <v>#VALUE!</v>
      </c>
      <c r="EX643" s="1295"/>
      <c r="EY643" s="1295"/>
      <c r="EZ643" s="1295"/>
      <c r="FA643" s="1295"/>
    </row>
    <row r="644" spans="1:157" ht="12.95" customHeight="1">
      <c r="B644" s="52" t="s">
        <v>644</v>
      </c>
      <c r="C644" s="1516"/>
      <c r="D644" s="1516"/>
      <c r="E644" s="1516"/>
      <c r="F644" s="1516"/>
      <c r="G644" s="1516"/>
      <c r="H644" s="1516"/>
      <c r="I644" s="1516"/>
      <c r="J644" s="1516"/>
      <c r="K644" s="1516"/>
      <c r="L644" s="1516"/>
      <c r="M644" s="1512" t="s">
        <v>1182</v>
      </c>
      <c r="N644" s="1512"/>
      <c r="O644" s="1512"/>
      <c r="P644" s="1512"/>
      <c r="Q644" s="1535"/>
      <c r="R644" s="1477"/>
      <c r="S644" s="1536"/>
      <c r="T644" s="1535"/>
      <c r="U644" s="1477"/>
      <c r="V644" s="1536"/>
      <c r="W644" s="1307"/>
      <c r="X644" s="1308"/>
      <c r="Y644" s="1309"/>
      <c r="Z644" s="1417" t="s">
        <v>1182</v>
      </c>
      <c r="AA644" s="1418"/>
      <c r="AB644" s="1419"/>
      <c r="AC644" s="1396"/>
      <c r="AD644" s="1397"/>
      <c r="AE644" s="1398"/>
      <c r="AF644" s="1370"/>
      <c r="AG644" s="1371"/>
      <c r="AH644" s="1371"/>
      <c r="AI644" s="1371"/>
      <c r="AJ644" s="1372"/>
      <c r="AK644" s="1364"/>
      <c r="AL644" s="1365"/>
      <c r="AM644" s="1365"/>
      <c r="AN644" s="1366"/>
      <c r="AO644" s="1416"/>
      <c r="AP644" s="1273"/>
      <c r="AQ644" s="1273"/>
      <c r="AR644" s="1273"/>
      <c r="AS644" s="1274"/>
      <c r="AT644" s="1142" t="str">
        <f t="shared" si="3"/>
        <v/>
      </c>
      <c r="AV644" s="3"/>
      <c r="AW644" s="3"/>
      <c r="AX644" s="3"/>
      <c r="AY644" s="3"/>
      <c r="AZ644" s="34"/>
      <c r="BA644" s="3" t="s">
        <v>455</v>
      </c>
      <c r="BB644" s="34"/>
      <c r="BC644" s="34"/>
      <c r="BD644" s="34"/>
      <c r="BE644" s="34"/>
      <c r="BF644" s="34"/>
      <c r="BG644" s="34"/>
      <c r="BH644" s="34"/>
      <c r="BI644" s="34"/>
      <c r="BJ644" s="34"/>
      <c r="BK644" s="34"/>
      <c r="BL644" s="34"/>
      <c r="BM644" s="34"/>
      <c r="DA644" s="3"/>
      <c r="DB644" s="3"/>
      <c r="DC644" s="3"/>
      <c r="DD644" s="3"/>
      <c r="DE644" s="3"/>
      <c r="DF644" s="3"/>
      <c r="DX644" s="1295" t="e">
        <f t="shared" si="4"/>
        <v>#VALUE!</v>
      </c>
      <c r="DY644" s="1295"/>
      <c r="DZ644" s="1295"/>
      <c r="EA644" s="1295"/>
      <c r="EB644" s="1295"/>
      <c r="EC644" s="1295">
        <f t="shared" si="5"/>
        <v>113.55555555555554</v>
      </c>
      <c r="ED644" s="1295"/>
      <c r="EE644" s="1295"/>
      <c r="EF644" s="1295"/>
      <c r="EG644" s="1295"/>
      <c r="EH644" s="1295" t="e">
        <f t="shared" si="6"/>
        <v>#VALUE!</v>
      </c>
      <c r="EI644" s="1295"/>
      <c r="EJ644" s="1295"/>
      <c r="EK644" s="1295"/>
      <c r="EL644" s="1295"/>
      <c r="EM644" s="1295" t="e">
        <f t="shared" si="7"/>
        <v>#VALUE!</v>
      </c>
      <c r="EN644" s="1295"/>
      <c r="EO644" s="1295"/>
      <c r="EP644" s="1295"/>
      <c r="EQ644" s="1295"/>
      <c r="ER644" s="1295" t="e">
        <f t="shared" si="8"/>
        <v>#VALUE!</v>
      </c>
      <c r="ES644" s="1295"/>
      <c r="ET644" s="1295"/>
      <c r="EU644" s="1295"/>
      <c r="EV644" s="1295"/>
      <c r="EW644" s="1295" t="e">
        <f t="shared" si="9"/>
        <v>#VALUE!</v>
      </c>
      <c r="EX644" s="1295"/>
      <c r="EY644" s="1295"/>
      <c r="EZ644" s="1295"/>
      <c r="FA644" s="1295"/>
    </row>
    <row r="645" spans="1:157" ht="12.95" customHeight="1">
      <c r="B645" s="52" t="s">
        <v>360</v>
      </c>
      <c r="C645" s="1516"/>
      <c r="D645" s="1516"/>
      <c r="E645" s="1516"/>
      <c r="F645" s="1516"/>
      <c r="G645" s="1516"/>
      <c r="H645" s="1516"/>
      <c r="I645" s="1516"/>
      <c r="J645" s="1516"/>
      <c r="K645" s="1516"/>
      <c r="L645" s="1516"/>
      <c r="M645" s="1512" t="s">
        <v>1182</v>
      </c>
      <c r="N645" s="1512"/>
      <c r="O645" s="1512"/>
      <c r="P645" s="1512"/>
      <c r="Q645" s="1535"/>
      <c r="R645" s="1477"/>
      <c r="S645" s="1536"/>
      <c r="T645" s="1535"/>
      <c r="U645" s="1477"/>
      <c r="V645" s="1536"/>
      <c r="W645" s="1307"/>
      <c r="X645" s="1308"/>
      <c r="Y645" s="1309"/>
      <c r="Z645" s="1417" t="s">
        <v>1182</v>
      </c>
      <c r="AA645" s="1418"/>
      <c r="AB645" s="1419"/>
      <c r="AC645" s="1396"/>
      <c r="AD645" s="1397"/>
      <c r="AE645" s="1398"/>
      <c r="AF645" s="1370"/>
      <c r="AG645" s="1371"/>
      <c r="AH645" s="1371"/>
      <c r="AI645" s="1371"/>
      <c r="AJ645" s="1372"/>
      <c r="AK645" s="1364"/>
      <c r="AL645" s="1365"/>
      <c r="AM645" s="1365"/>
      <c r="AN645" s="1366"/>
      <c r="AO645" s="1416"/>
      <c r="AP645" s="1273"/>
      <c r="AQ645" s="1273"/>
      <c r="AR645" s="1273"/>
      <c r="AS645" s="1274"/>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295" t="e">
        <f t="shared" si="4"/>
        <v>#VALUE!</v>
      </c>
      <c r="DY645" s="1295"/>
      <c r="DZ645" s="1295"/>
      <c r="EA645" s="1295"/>
      <c r="EB645" s="1295"/>
      <c r="EC645" s="1295">
        <f t="shared" si="5"/>
        <v>479.11111111111114</v>
      </c>
      <c r="ED645" s="1295"/>
      <c r="EE645" s="1295"/>
      <c r="EF645" s="1295"/>
      <c r="EG645" s="1295"/>
      <c r="EH645" s="1295" t="e">
        <f t="shared" si="6"/>
        <v>#VALUE!</v>
      </c>
      <c r="EI645" s="1295"/>
      <c r="EJ645" s="1295"/>
      <c r="EK645" s="1295"/>
      <c r="EL645" s="1295"/>
      <c r="EM645" s="1295" t="e">
        <f t="shared" si="7"/>
        <v>#VALUE!</v>
      </c>
      <c r="EN645" s="1295"/>
      <c r="EO645" s="1295"/>
      <c r="EP645" s="1295"/>
      <c r="EQ645" s="1295"/>
      <c r="ER645" s="1295" t="e">
        <f t="shared" si="8"/>
        <v>#VALUE!</v>
      </c>
      <c r="ES645" s="1295"/>
      <c r="ET645" s="1295"/>
      <c r="EU645" s="1295"/>
      <c r="EV645" s="1295"/>
      <c r="EW645" s="1295" t="e">
        <f t="shared" si="9"/>
        <v>#VALUE!</v>
      </c>
      <c r="EX645" s="1295"/>
      <c r="EY645" s="1295"/>
      <c r="EZ645" s="1295"/>
      <c r="FA645" s="1295"/>
    </row>
    <row r="646" spans="1:157" ht="12.95" customHeight="1">
      <c r="B646" s="52" t="s">
        <v>361</v>
      </c>
      <c r="C646" s="1516"/>
      <c r="D646" s="1516"/>
      <c r="E646" s="1516"/>
      <c r="F646" s="1516"/>
      <c r="G646" s="1516"/>
      <c r="H646" s="1516"/>
      <c r="I646" s="1516"/>
      <c r="J646" s="1516"/>
      <c r="K646" s="1516"/>
      <c r="L646" s="1516"/>
      <c r="M646" s="1512" t="s">
        <v>1182</v>
      </c>
      <c r="N646" s="1512"/>
      <c r="O646" s="1512"/>
      <c r="P646" s="1512"/>
      <c r="Q646" s="1535"/>
      <c r="R646" s="1477"/>
      <c r="S646" s="1536"/>
      <c r="T646" s="1535"/>
      <c r="U646" s="1477"/>
      <c r="V646" s="1536"/>
      <c r="W646" s="1307"/>
      <c r="X646" s="1308"/>
      <c r="Y646" s="1309"/>
      <c r="Z646" s="1417" t="s">
        <v>1182</v>
      </c>
      <c r="AA646" s="1418"/>
      <c r="AB646" s="1419"/>
      <c r="AC646" s="1396"/>
      <c r="AD646" s="1397"/>
      <c r="AE646" s="1398"/>
      <c r="AF646" s="1370"/>
      <c r="AG646" s="1371"/>
      <c r="AH646" s="1371"/>
      <c r="AI646" s="1371"/>
      <c r="AJ646" s="1372"/>
      <c r="AK646" s="1364"/>
      <c r="AL646" s="1365"/>
      <c r="AM646" s="1365"/>
      <c r="AN646" s="1366"/>
      <c r="AO646" s="1416"/>
      <c r="AP646" s="1273"/>
      <c r="AQ646" s="1273"/>
      <c r="AR646" s="1273"/>
      <c r="AS646" s="1274"/>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295" t="e">
        <f t="shared" si="4"/>
        <v>#VALUE!</v>
      </c>
      <c r="DY646" s="1295"/>
      <c r="DZ646" s="1295"/>
      <c r="EA646" s="1295"/>
      <c r="EB646" s="1295"/>
      <c r="EC646" s="1295" t="e">
        <f t="shared" si="5"/>
        <v>#VALUE!</v>
      </c>
      <c r="ED646" s="1295"/>
      <c r="EE646" s="1295"/>
      <c r="EF646" s="1295"/>
      <c r="EG646" s="1295"/>
      <c r="EH646" s="1295">
        <f t="shared" si="6"/>
        <v>17.349397590361448</v>
      </c>
      <c r="EI646" s="1295"/>
      <c r="EJ646" s="1295"/>
      <c r="EK646" s="1295"/>
      <c r="EL646" s="1295"/>
      <c r="EM646" s="1295" t="e">
        <f t="shared" si="7"/>
        <v>#VALUE!</v>
      </c>
      <c r="EN646" s="1295"/>
      <c r="EO646" s="1295"/>
      <c r="EP646" s="1295"/>
      <c r="EQ646" s="1295"/>
      <c r="ER646" s="1295" t="e">
        <f t="shared" si="8"/>
        <v>#VALUE!</v>
      </c>
      <c r="ES646" s="1295"/>
      <c r="ET646" s="1295"/>
      <c r="EU646" s="1295"/>
      <c r="EV646" s="1295"/>
      <c r="EW646" s="1295" t="e">
        <f t="shared" si="9"/>
        <v>#VALUE!</v>
      </c>
      <c r="EX646" s="1295"/>
      <c r="EY646" s="1295"/>
      <c r="EZ646" s="1295"/>
      <c r="FA646" s="1295"/>
    </row>
    <row r="647" spans="1:157" ht="12.95" customHeight="1">
      <c r="B647" s="1399" t="s">
        <v>128</v>
      </c>
      <c r="C647" s="1400"/>
      <c r="D647" s="1400"/>
      <c r="E647" s="1400"/>
      <c r="F647" s="1400"/>
      <c r="G647" s="1400"/>
      <c r="H647" s="1400"/>
      <c r="I647" s="1400"/>
      <c r="J647" s="1400"/>
      <c r="K647" s="1400"/>
      <c r="L647" s="1400"/>
      <c r="M647" s="1400"/>
      <c r="N647" s="1400"/>
      <c r="O647" s="1400"/>
      <c r="P647" s="1400"/>
      <c r="Q647" s="1400"/>
      <c r="R647" s="1400"/>
      <c r="S647" s="1400"/>
      <c r="T647" s="1400"/>
      <c r="U647" s="1400"/>
      <c r="V647" s="1400"/>
      <c r="W647" s="1400"/>
      <c r="X647" s="1400"/>
      <c r="Y647" s="1400"/>
      <c r="Z647" s="1400"/>
      <c r="AA647" s="1400"/>
      <c r="AB647" s="1400"/>
      <c r="AC647" s="1400"/>
      <c r="AD647" s="1400"/>
      <c r="AE647" s="1400"/>
      <c r="AF647" s="1400"/>
      <c r="AG647" s="1400"/>
      <c r="AH647" s="1400"/>
      <c r="AI647" s="1400"/>
      <c r="AJ647" s="1400"/>
      <c r="AK647" s="1400"/>
      <c r="AL647" s="1400"/>
      <c r="AM647" s="1400"/>
      <c r="AN647" s="1402"/>
      <c r="AO647" s="1413">
        <f>SUM(AO635:AR646)</f>
        <v>60361641</v>
      </c>
      <c r="AP647" s="1414"/>
      <c r="AQ647" s="1414"/>
      <c r="AR647" s="1414"/>
      <c r="AS647" s="1415"/>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5" t="e">
        <f t="shared" si="4"/>
        <v>#VALUE!</v>
      </c>
      <c r="DY647" s="1295"/>
      <c r="DZ647" s="1295"/>
      <c r="EA647" s="1295"/>
      <c r="EB647" s="1295"/>
      <c r="EC647" s="1295" t="e">
        <f t="shared" si="5"/>
        <v>#VALUE!</v>
      </c>
      <c r="ED647" s="1295"/>
      <c r="EE647" s="1295"/>
      <c r="EF647" s="1295"/>
      <c r="EG647" s="1295"/>
      <c r="EH647" s="1295">
        <f t="shared" si="6"/>
        <v>117.87951807228916</v>
      </c>
      <c r="EI647" s="1295"/>
      <c r="EJ647" s="1295"/>
      <c r="EK647" s="1295"/>
      <c r="EL647" s="1295"/>
      <c r="EM647" s="1295" t="e">
        <f t="shared" si="7"/>
        <v>#VALUE!</v>
      </c>
      <c r="EN647" s="1295"/>
      <c r="EO647" s="1295"/>
      <c r="EP647" s="1295"/>
      <c r="EQ647" s="1295"/>
      <c r="ER647" s="1295" t="e">
        <f t="shared" si="8"/>
        <v>#VALUE!</v>
      </c>
      <c r="ES647" s="1295"/>
      <c r="ET647" s="1295"/>
      <c r="EU647" s="1295"/>
      <c r="EV647" s="1295"/>
      <c r="EW647" s="1295" t="e">
        <f t="shared" si="9"/>
        <v>#VALUE!</v>
      </c>
      <c r="EX647" s="1295"/>
      <c r="EY647" s="1295"/>
      <c r="EZ647" s="1295"/>
      <c r="FA647" s="1295"/>
    </row>
    <row r="648" spans="1:157" ht="12.95" customHeight="1">
      <c r="B648" s="1399" t="s">
        <v>266</v>
      </c>
      <c r="C648" s="1400"/>
      <c r="D648" s="1400"/>
      <c r="E648" s="1400"/>
      <c r="F648" s="1400"/>
      <c r="G648" s="1400"/>
      <c r="H648" s="1400"/>
      <c r="I648" s="1400"/>
      <c r="J648" s="1400"/>
      <c r="K648" s="1400"/>
      <c r="L648" s="1400"/>
      <c r="M648" s="1400"/>
      <c r="N648" s="1400"/>
      <c r="O648" s="1400"/>
      <c r="P648" s="1400"/>
      <c r="Q648" s="1400"/>
      <c r="R648" s="1400"/>
      <c r="S648" s="1400"/>
      <c r="T648" s="1400"/>
      <c r="U648" s="1400"/>
      <c r="V648" s="1400"/>
      <c r="W648" s="1400"/>
      <c r="X648" s="1400"/>
      <c r="Y648" s="1400"/>
      <c r="Z648" s="1400"/>
      <c r="AA648" s="1400"/>
      <c r="AB648" s="1400"/>
      <c r="AC648" s="1400"/>
      <c r="AD648" s="1400"/>
      <c r="AE648" s="1400"/>
      <c r="AF648" s="1400"/>
      <c r="AG648" s="1400"/>
      <c r="AH648" s="1400"/>
      <c r="AI648" s="1400"/>
      <c r="AJ648" s="1400"/>
      <c r="AK648" s="1400"/>
      <c r="AL648" s="1400"/>
      <c r="AM648" s="1400"/>
      <c r="AN648" s="1402"/>
      <c r="AO648" s="1416">
        <v>57064434</v>
      </c>
      <c r="AP648" s="1273"/>
      <c r="AQ648" s="1273"/>
      <c r="AR648" s="1273"/>
      <c r="AS648" s="1274"/>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5" t="e">
        <f t="shared" si="4"/>
        <v>#VALUE!</v>
      </c>
      <c r="DY648" s="1295"/>
      <c r="DZ648" s="1295"/>
      <c r="EA648" s="1295"/>
      <c r="EB648" s="1295"/>
      <c r="EC648" s="1295" t="e">
        <f t="shared" si="5"/>
        <v>#VALUE!</v>
      </c>
      <c r="ED648" s="1295"/>
      <c r="EE648" s="1295"/>
      <c r="EF648" s="1295"/>
      <c r="EG648" s="1295"/>
      <c r="EH648" s="1295">
        <f t="shared" si="6"/>
        <v>1155.1204819277109</v>
      </c>
      <c r="EI648" s="1295"/>
      <c r="EJ648" s="1295"/>
      <c r="EK648" s="1295"/>
      <c r="EL648" s="1295"/>
      <c r="EM648" s="1295" t="e">
        <f t="shared" si="7"/>
        <v>#VALUE!</v>
      </c>
      <c r="EN648" s="1295"/>
      <c r="EO648" s="1295"/>
      <c r="EP648" s="1295"/>
      <c r="EQ648" s="1295"/>
      <c r="ER648" s="1295" t="e">
        <f t="shared" si="8"/>
        <v>#VALUE!</v>
      </c>
      <c r="ES648" s="1295"/>
      <c r="ET648" s="1295"/>
      <c r="EU648" s="1295"/>
      <c r="EV648" s="1295"/>
      <c r="EW648" s="1295" t="e">
        <f t="shared" si="9"/>
        <v>#VALUE!</v>
      </c>
      <c r="EX648" s="1295"/>
      <c r="EY648" s="1295"/>
      <c r="EZ648" s="1295"/>
      <c r="FA648" s="1295"/>
    </row>
    <row r="649" spans="1:157" ht="12.95" customHeight="1">
      <c r="B649" s="1753" t="s">
        <v>267</v>
      </c>
      <c r="C649" s="1401"/>
      <c r="D649" s="1401"/>
      <c r="E649" s="1401"/>
      <c r="F649" s="1401"/>
      <c r="G649" s="1401"/>
      <c r="H649" s="1401"/>
      <c r="I649" s="1401"/>
      <c r="J649" s="1401"/>
      <c r="K649" s="1401"/>
      <c r="L649" s="1401"/>
      <c r="M649" s="1401"/>
      <c r="N649" s="1401"/>
      <c r="O649" s="1401"/>
      <c r="P649" s="1401"/>
      <c r="Q649" s="1401"/>
      <c r="R649" s="1401"/>
      <c r="S649" s="1401"/>
      <c r="T649" s="1401"/>
      <c r="U649" s="1401"/>
      <c r="V649" s="1401"/>
      <c r="W649" s="1401"/>
      <c r="X649" s="1401"/>
      <c r="Y649" s="1401"/>
      <c r="Z649" s="1401"/>
      <c r="AA649" s="1401"/>
      <c r="AB649" s="1401"/>
      <c r="AC649" s="1401"/>
      <c r="AD649" s="1401"/>
      <c r="AE649" s="1401"/>
      <c r="AF649" s="1401"/>
      <c r="AG649" s="1401"/>
      <c r="AH649" s="1401"/>
      <c r="AI649" s="1401"/>
      <c r="AJ649" s="1401"/>
      <c r="AK649" s="1401"/>
      <c r="AL649" s="1401"/>
      <c r="AM649" s="1401"/>
      <c r="AN649" s="1754"/>
      <c r="AO649" s="1413">
        <f>AO647+AO648</f>
        <v>117426075</v>
      </c>
      <c r="AP649" s="1414"/>
      <c r="AQ649" s="1414"/>
      <c r="AR649" s="1414"/>
      <c r="AS649" s="1415"/>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5" t="e">
        <f t="shared" si="4"/>
        <v>#VALUE!</v>
      </c>
      <c r="DY649" s="1295"/>
      <c r="DZ649" s="1295"/>
      <c r="EA649" s="1295"/>
      <c r="EB649" s="1295"/>
      <c r="EC649" s="1295" t="e">
        <f t="shared" si="5"/>
        <v>#VALUE!</v>
      </c>
      <c r="ED649" s="1295"/>
      <c r="EE649" s="1295"/>
      <c r="EF649" s="1295"/>
      <c r="EG649" s="1295"/>
      <c r="EH649" s="1295">
        <f t="shared" si="6"/>
        <v>166.45783132530121</v>
      </c>
      <c r="EI649" s="1295"/>
      <c r="EJ649" s="1295"/>
      <c r="EK649" s="1295"/>
      <c r="EL649" s="1295"/>
      <c r="EM649" s="1295" t="e">
        <f t="shared" si="7"/>
        <v>#VALUE!</v>
      </c>
      <c r="EN649" s="1295"/>
      <c r="EO649" s="1295"/>
      <c r="EP649" s="1295"/>
      <c r="EQ649" s="1295"/>
      <c r="ER649" s="1295" t="e">
        <f t="shared" si="8"/>
        <v>#VALUE!</v>
      </c>
      <c r="ES649" s="1295"/>
      <c r="ET649" s="1295"/>
      <c r="EU649" s="1295"/>
      <c r="EV649" s="1295"/>
      <c r="EW649" s="1295" t="e">
        <f t="shared" si="9"/>
        <v>#VALUE!</v>
      </c>
      <c r="EX649" s="1295"/>
      <c r="EY649" s="1295"/>
      <c r="EZ649" s="1295"/>
      <c r="FA649" s="1295"/>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5" t="e">
        <f t="shared" si="4"/>
        <v>#VALUE!</v>
      </c>
      <c r="DY650" s="1295"/>
      <c r="DZ650" s="1295"/>
      <c r="EA650" s="1295"/>
      <c r="EB650" s="1295"/>
      <c r="EC650" s="1295" t="e">
        <f t="shared" si="5"/>
        <v>#VALUE!</v>
      </c>
      <c r="ED650" s="1295"/>
      <c r="EE650" s="1295"/>
      <c r="EF650" s="1295"/>
      <c r="EG650" s="1295"/>
      <c r="EH650" s="1295" t="e">
        <f t="shared" si="6"/>
        <v>#VALUE!</v>
      </c>
      <c r="EI650" s="1295"/>
      <c r="EJ650" s="1295"/>
      <c r="EK650" s="1295"/>
      <c r="EL650" s="1295"/>
      <c r="EM650" s="1295">
        <f t="shared" si="7"/>
        <v>20.512195121951219</v>
      </c>
      <c r="EN650" s="1295"/>
      <c r="EO650" s="1295"/>
      <c r="EP650" s="1295"/>
      <c r="EQ650" s="1295"/>
      <c r="ER650" s="1295" t="e">
        <f t="shared" si="8"/>
        <v>#VALUE!</v>
      </c>
      <c r="ES650" s="1295"/>
      <c r="ET650" s="1295"/>
      <c r="EU650" s="1295"/>
      <c r="EV650" s="1295"/>
      <c r="EW650" s="1295" t="e">
        <f t="shared" si="9"/>
        <v>#VALUE!</v>
      </c>
      <c r="EX650" s="1295"/>
      <c r="EY650" s="1295"/>
      <c r="EZ650" s="1295"/>
      <c r="FA650" s="1295"/>
    </row>
    <row r="651" spans="1:157" ht="12.95" customHeight="1">
      <c r="A651" s="55" t="s">
        <v>112</v>
      </c>
      <c r="B651" t="s">
        <v>461</v>
      </c>
      <c r="G651" s="1296" t="str">
        <f>C635</f>
        <v>Freddie Mac / Berkadia</v>
      </c>
      <c r="H651" s="1296"/>
      <c r="I651" s="1296"/>
      <c r="J651" s="1296"/>
      <c r="K651" s="1296"/>
      <c r="L651" s="1296"/>
      <c r="M651" s="1296"/>
      <c r="N651" s="1296"/>
      <c r="O651" s="1296"/>
      <c r="P651" s="1296"/>
      <c r="Q651" s="1296"/>
      <c r="R651" s="1296"/>
      <c r="S651" s="8"/>
      <c r="T651" s="55" t="s">
        <v>113</v>
      </c>
      <c r="U651" t="s">
        <v>461</v>
      </c>
      <c r="Z651" s="1296" t="str">
        <f>C636</f>
        <v>Freddie Mac / Berkadia</v>
      </c>
      <c r="AA651" s="1296"/>
      <c r="AB651" s="1296"/>
      <c r="AC651" s="1296"/>
      <c r="AD651" s="1296"/>
      <c r="AE651" s="1296"/>
      <c r="AF651" s="1296"/>
      <c r="AG651" s="1296"/>
      <c r="AH651" s="1296"/>
      <c r="AI651" s="1296"/>
      <c r="AJ651" s="1296"/>
      <c r="AK651" s="129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5" t="e">
        <f t="shared" si="4"/>
        <v>#VALUE!</v>
      </c>
      <c r="DY651" s="1295"/>
      <c r="DZ651" s="1295"/>
      <c r="EA651" s="1295"/>
      <c r="EB651" s="1295"/>
      <c r="EC651" s="1295" t="e">
        <f t="shared" si="5"/>
        <v>#VALUE!</v>
      </c>
      <c r="ED651" s="1295"/>
      <c r="EE651" s="1295"/>
      <c r="EF651" s="1295"/>
      <c r="EG651" s="1295"/>
      <c r="EH651" s="1295" t="e">
        <f t="shared" si="6"/>
        <v>#VALUE!</v>
      </c>
      <c r="EI651" s="1295"/>
      <c r="EJ651" s="1295"/>
      <c r="EK651" s="1295"/>
      <c r="EL651" s="1295"/>
      <c r="EM651" s="1295">
        <f t="shared" si="7"/>
        <v>138.82926829268294</v>
      </c>
      <c r="EN651" s="1295"/>
      <c r="EO651" s="1295"/>
      <c r="EP651" s="1295"/>
      <c r="EQ651" s="1295"/>
      <c r="ER651" s="1295" t="e">
        <f t="shared" si="8"/>
        <v>#VALUE!</v>
      </c>
      <c r="ES651" s="1295"/>
      <c r="ET651" s="1295"/>
      <c r="EU651" s="1295"/>
      <c r="EV651" s="1295"/>
      <c r="EW651" s="1295" t="e">
        <f t="shared" si="9"/>
        <v>#VALUE!</v>
      </c>
      <c r="EX651" s="1295"/>
      <c r="EY651" s="1295"/>
      <c r="EZ651" s="1295"/>
      <c r="FA651" s="1295"/>
    </row>
    <row r="652" spans="1:157" ht="12.95" customHeight="1">
      <c r="A652" s="22"/>
      <c r="B652" t="s">
        <v>85</v>
      </c>
      <c r="G652" s="1348" t="s">
        <v>2717</v>
      </c>
      <c r="H652" s="1348"/>
      <c r="I652" s="1348"/>
      <c r="J652" s="1348"/>
      <c r="K652" s="1348"/>
      <c r="L652" s="1348"/>
      <c r="M652" s="1348"/>
      <c r="N652" s="1348"/>
      <c r="O652" s="1348"/>
      <c r="P652" s="1348"/>
      <c r="Q652" s="1348"/>
      <c r="R652" s="1348"/>
      <c r="S652" s="8"/>
      <c r="T652" s="22"/>
      <c r="U652" t="s">
        <v>85</v>
      </c>
      <c r="Z652" s="1348" t="s">
        <v>2717</v>
      </c>
      <c r="AA652" s="1348"/>
      <c r="AB652" s="1348"/>
      <c r="AC652" s="1348"/>
      <c r="AD652" s="1348"/>
      <c r="AE652" s="1348"/>
      <c r="AF652" s="1348"/>
      <c r="AG652" s="1348"/>
      <c r="AH652" s="1348"/>
      <c r="AI652" s="1348"/>
      <c r="AJ652" s="1348"/>
      <c r="AK652" s="1348"/>
      <c r="AV652" s="3"/>
      <c r="AW652" s="3"/>
      <c r="AX652" s="3"/>
      <c r="AY652" s="3"/>
      <c r="AZ652" s="3"/>
      <c r="BA652" s="3"/>
      <c r="BB652" s="3"/>
      <c r="BC652" s="3"/>
      <c r="BD652" s="3"/>
      <c r="BE652" s="3"/>
      <c r="BF652" s="3"/>
      <c r="BG652" s="3"/>
      <c r="BH652" s="3"/>
      <c r="BI652" s="3"/>
      <c r="BJ652" s="3"/>
      <c r="BK652" s="3"/>
      <c r="BL652" s="3"/>
      <c r="BM652" s="3"/>
      <c r="DX652" s="1295" t="e">
        <f t="shared" si="4"/>
        <v>#VALUE!</v>
      </c>
      <c r="DY652" s="1295"/>
      <c r="DZ652" s="1295"/>
      <c r="EA652" s="1295"/>
      <c r="EB652" s="1295"/>
      <c r="EC652" s="1295" t="e">
        <f t="shared" si="5"/>
        <v>#VALUE!</v>
      </c>
      <c r="ED652" s="1295"/>
      <c r="EE652" s="1295"/>
      <c r="EF652" s="1295"/>
      <c r="EG652" s="1295"/>
      <c r="EH652" s="1295" t="e">
        <f t="shared" si="6"/>
        <v>#VALUE!</v>
      </c>
      <c r="EI652" s="1295"/>
      <c r="EJ652" s="1295"/>
      <c r="EK652" s="1295"/>
      <c r="EL652" s="1295"/>
      <c r="EM652" s="1295">
        <f t="shared" si="7"/>
        <v>1254.1463414634145</v>
      </c>
      <c r="EN652" s="1295"/>
      <c r="EO652" s="1295"/>
      <c r="EP652" s="1295"/>
      <c r="EQ652" s="1295"/>
      <c r="ER652" s="1295" t="e">
        <f t="shared" si="8"/>
        <v>#VALUE!</v>
      </c>
      <c r="ES652" s="1295"/>
      <c r="ET652" s="1295"/>
      <c r="EU652" s="1295"/>
      <c r="EV652" s="1295"/>
      <c r="EW652" s="1295" t="e">
        <f t="shared" si="9"/>
        <v>#VALUE!</v>
      </c>
      <c r="EX652" s="1295"/>
      <c r="EY652" s="1295"/>
      <c r="EZ652" s="1295"/>
      <c r="FA652" s="1295"/>
    </row>
    <row r="653" spans="1:157" ht="12.95" customHeight="1">
      <c r="A653" s="22"/>
      <c r="B653" t="s">
        <v>578</v>
      </c>
      <c r="G653" s="1348" t="s">
        <v>2718</v>
      </c>
      <c r="H653" s="1348"/>
      <c r="I653" s="1348"/>
      <c r="J653" s="1348"/>
      <c r="K653" s="1348"/>
      <c r="L653" s="1348"/>
      <c r="M653" s="1348"/>
      <c r="N653" s="1348"/>
      <c r="O653" s="1348"/>
      <c r="P653" s="1348"/>
      <c r="Q653" s="1348"/>
      <c r="R653" s="1348"/>
      <c r="T653" s="22"/>
      <c r="U653" t="s">
        <v>578</v>
      </c>
      <c r="Z653" s="1335" t="s">
        <v>2718</v>
      </c>
      <c r="AA653" s="1335"/>
      <c r="AB653" s="1335"/>
      <c r="AC653" s="1335"/>
      <c r="AD653" s="1335"/>
      <c r="AE653" s="1335"/>
      <c r="AF653" s="1335"/>
      <c r="AG653" s="1335"/>
      <c r="AH653" s="1335"/>
      <c r="AI653" s="1335"/>
      <c r="AJ653" s="1335"/>
      <c r="AK653" s="1335"/>
      <c r="AV653" s="3"/>
      <c r="AW653" s="3"/>
      <c r="AX653" s="3"/>
      <c r="AY653" s="3"/>
      <c r="AZ653" s="3"/>
      <c r="BA653" s="3"/>
      <c r="BB653" s="3"/>
      <c r="BC653" s="3"/>
      <c r="BD653" s="3"/>
      <c r="BE653" s="3"/>
      <c r="BF653" s="3"/>
      <c r="BG653" s="3"/>
      <c r="BH653" s="3"/>
      <c r="BI653" s="3"/>
      <c r="BJ653" s="3"/>
      <c r="BK653" s="3"/>
      <c r="BL653" s="3"/>
      <c r="BM653" s="3"/>
      <c r="DX653" s="1295" t="e">
        <f t="shared" si="4"/>
        <v>#VALUE!</v>
      </c>
      <c r="DY653" s="1295"/>
      <c r="DZ653" s="1295"/>
      <c r="EA653" s="1295"/>
      <c r="EB653" s="1295"/>
      <c r="EC653" s="1295" t="e">
        <f t="shared" si="5"/>
        <v>#VALUE!</v>
      </c>
      <c r="ED653" s="1295"/>
      <c r="EE653" s="1295"/>
      <c r="EF653" s="1295"/>
      <c r="EG653" s="1295"/>
      <c r="EH653" s="1295" t="e">
        <f t="shared" si="6"/>
        <v>#VALUE!</v>
      </c>
      <c r="EI653" s="1295"/>
      <c r="EJ653" s="1295"/>
      <c r="EK653" s="1295"/>
      <c r="EL653" s="1295"/>
      <c r="EM653" s="1295">
        <f t="shared" si="7"/>
        <v>293.41463414634143</v>
      </c>
      <c r="EN653" s="1295"/>
      <c r="EO653" s="1295"/>
      <c r="EP653" s="1295"/>
      <c r="EQ653" s="1295"/>
      <c r="ER653" s="1295" t="e">
        <f t="shared" si="8"/>
        <v>#VALUE!</v>
      </c>
      <c r="ES653" s="1295"/>
      <c r="ET653" s="1295"/>
      <c r="EU653" s="1295"/>
      <c r="EV653" s="1295"/>
      <c r="EW653" s="1295" t="e">
        <f t="shared" si="9"/>
        <v>#VALUE!</v>
      </c>
      <c r="EX653" s="1295"/>
      <c r="EY653" s="1295"/>
      <c r="EZ653" s="1295"/>
      <c r="FA653" s="1295"/>
    </row>
    <row r="654" spans="1:157" ht="12.95" customHeight="1">
      <c r="A654" s="22"/>
      <c r="B654" t="s">
        <v>17</v>
      </c>
      <c r="G654" s="1348" t="s">
        <v>2719</v>
      </c>
      <c r="H654" s="1348"/>
      <c r="I654" s="1348"/>
      <c r="J654" s="1348"/>
      <c r="K654" s="1348"/>
      <c r="L654" s="1348"/>
      <c r="M654" s="1348"/>
      <c r="N654" s="1348"/>
      <c r="O654" s="1348"/>
      <c r="P654" s="1348"/>
      <c r="Q654" s="1348"/>
      <c r="R654" s="1348"/>
      <c r="S654" s="8"/>
      <c r="T654" s="22"/>
      <c r="U654" t="s">
        <v>17</v>
      </c>
      <c r="Z654" s="1335" t="s">
        <v>2719</v>
      </c>
      <c r="AA654" s="1335"/>
      <c r="AB654" s="1335"/>
      <c r="AC654" s="1335"/>
      <c r="AD654" s="1335"/>
      <c r="AE654" s="1335"/>
      <c r="AF654" s="1335"/>
      <c r="AG654" s="1335"/>
      <c r="AH654" s="1335"/>
      <c r="AI654" s="1335"/>
      <c r="AJ654" s="1335"/>
      <c r="AK654" s="1335"/>
      <c r="AZ654" s="3"/>
      <c r="BA654" s="3"/>
      <c r="BB654" s="3"/>
      <c r="BC654" s="3"/>
      <c r="BD654" s="3"/>
      <c r="BE654" s="3"/>
      <c r="BF654" s="3"/>
      <c r="BG654" s="3"/>
      <c r="BH654" s="3"/>
      <c r="BI654" s="3"/>
      <c r="BJ654" s="3"/>
      <c r="BK654" s="3"/>
      <c r="BL654" s="3"/>
      <c r="BM654" s="3"/>
      <c r="DX654" s="1295" t="e">
        <f t="shared" si="4"/>
        <v>#VALUE!</v>
      </c>
      <c r="DY654" s="1295"/>
      <c r="DZ654" s="1295"/>
      <c r="EA654" s="1295"/>
      <c r="EB654" s="1295"/>
      <c r="EC654" s="1295" t="e">
        <f t="shared" si="5"/>
        <v>#VALUE!</v>
      </c>
      <c r="ED654" s="1295"/>
      <c r="EE654" s="1295"/>
      <c r="EF654" s="1295"/>
      <c r="EG654" s="1295"/>
      <c r="EH654" s="1295" t="e">
        <f t="shared" si="6"/>
        <v>#VALUE!</v>
      </c>
      <c r="EI654" s="1295"/>
      <c r="EJ654" s="1295"/>
      <c r="EK654" s="1295"/>
      <c r="EL654" s="1295"/>
      <c r="EM654" s="1295" t="e">
        <f t="shared" si="7"/>
        <v>#VALUE!</v>
      </c>
      <c r="EN654" s="1295"/>
      <c r="EO654" s="1295"/>
      <c r="EP654" s="1295"/>
      <c r="EQ654" s="1295"/>
      <c r="ER654" s="1295">
        <f t="shared" si="8"/>
        <v>52</v>
      </c>
      <c r="ES654" s="1295"/>
      <c r="ET654" s="1295"/>
      <c r="EU654" s="1295"/>
      <c r="EV654" s="1295"/>
      <c r="EW654" s="1295" t="e">
        <f t="shared" si="9"/>
        <v>#VALUE!</v>
      </c>
      <c r="EX654" s="1295"/>
      <c r="EY654" s="1295"/>
      <c r="EZ654" s="1295"/>
      <c r="FA654" s="1295"/>
    </row>
    <row r="655" spans="1:157" ht="12.95" customHeight="1">
      <c r="A655" s="22"/>
      <c r="B655" t="s">
        <v>315</v>
      </c>
      <c r="G655" s="1310">
        <v>2143603849</v>
      </c>
      <c r="H655" s="1310"/>
      <c r="I655" s="1310"/>
      <c r="J655" s="1310"/>
      <c r="K655" s="1310"/>
      <c r="L655" s="1310"/>
      <c r="O655" s="33" t="s">
        <v>205</v>
      </c>
      <c r="P655" s="1336"/>
      <c r="Q655" s="1336"/>
      <c r="R655" s="1336"/>
      <c r="S655" s="10"/>
      <c r="T655" s="22"/>
      <c r="U655" t="s">
        <v>315</v>
      </c>
      <c r="Z655" s="1310">
        <v>2143603849</v>
      </c>
      <c r="AA655" s="1310"/>
      <c r="AB655" s="1310"/>
      <c r="AC655" s="1310"/>
      <c r="AD655" s="1310"/>
      <c r="AE655" s="1310"/>
      <c r="AH655" s="33" t="s">
        <v>205</v>
      </c>
      <c r="AI655" s="1336"/>
      <c r="AJ655" s="1336"/>
      <c r="AK655" s="1336"/>
      <c r="AZ655" s="34"/>
      <c r="BA655" s="34"/>
      <c r="BB655" s="34"/>
      <c r="BC655" s="34"/>
      <c r="BD655" s="34"/>
      <c r="BE655" s="34"/>
      <c r="BF655" s="34"/>
      <c r="BG655" s="34"/>
      <c r="BH655" s="34"/>
      <c r="BI655" s="34"/>
      <c r="BJ655" s="34"/>
      <c r="BK655" s="34"/>
      <c r="BL655" s="34"/>
      <c r="BM655" s="34"/>
      <c r="DX655" s="1295" t="e">
        <f t="shared" si="4"/>
        <v>#VALUE!</v>
      </c>
      <c r="DY655" s="1295"/>
      <c r="DZ655" s="1295"/>
      <c r="EA655" s="1295"/>
      <c r="EB655" s="1295"/>
      <c r="EC655" s="1295" t="e">
        <f t="shared" si="5"/>
        <v>#VALUE!</v>
      </c>
      <c r="ED655" s="1295"/>
      <c r="EE655" s="1295"/>
      <c r="EF655" s="1295"/>
      <c r="EG655" s="1295"/>
      <c r="EH655" s="1295" t="e">
        <f t="shared" si="6"/>
        <v>#VALUE!</v>
      </c>
      <c r="EI655" s="1295"/>
      <c r="EJ655" s="1295"/>
      <c r="EK655" s="1295"/>
      <c r="EL655" s="1295"/>
      <c r="EM655" s="1295" t="e">
        <f t="shared" si="7"/>
        <v>#VALUE!</v>
      </c>
      <c r="EN655" s="1295"/>
      <c r="EO655" s="1295"/>
      <c r="EP655" s="1295"/>
      <c r="EQ655" s="1295"/>
      <c r="ER655" s="1295">
        <f t="shared" si="8"/>
        <v>176.11111111111111</v>
      </c>
      <c r="ES655" s="1295"/>
      <c r="ET655" s="1295"/>
      <c r="EU655" s="1295"/>
      <c r="EV655" s="1295"/>
      <c r="EW655" s="1295" t="e">
        <f t="shared" si="9"/>
        <v>#VALUE!</v>
      </c>
      <c r="EX655" s="1295"/>
      <c r="EY655" s="1295"/>
      <c r="EZ655" s="1295"/>
      <c r="FA655" s="1295"/>
    </row>
    <row r="656" spans="1:157" ht="12.95" customHeight="1">
      <c r="A656" s="22"/>
      <c r="B656" t="s">
        <v>18</v>
      </c>
      <c r="H656" s="1348" t="s">
        <v>2720</v>
      </c>
      <c r="I656" s="1348"/>
      <c r="J656" s="1348"/>
      <c r="K656" s="1348"/>
      <c r="L656" s="1348"/>
      <c r="M656" s="1348"/>
      <c r="N656" s="1348"/>
      <c r="O656" s="1348"/>
      <c r="P656" s="1348"/>
      <c r="Q656" s="1348"/>
      <c r="R656" s="1348"/>
      <c r="S656" s="8"/>
      <c r="T656" s="22"/>
      <c r="U656" t="s">
        <v>18</v>
      </c>
      <c r="AA656" s="1348" t="s">
        <v>2721</v>
      </c>
      <c r="AB656" s="1348"/>
      <c r="AC656" s="1348"/>
      <c r="AD656" s="1348"/>
      <c r="AE656" s="1348"/>
      <c r="AF656" s="1348"/>
      <c r="AG656" s="1348"/>
      <c r="AH656" s="1348"/>
      <c r="AI656" s="1348"/>
      <c r="AJ656" s="1348"/>
      <c r="AK656" s="1348"/>
      <c r="AZ656" s="34"/>
      <c r="BA656" s="34"/>
      <c r="BB656" s="34"/>
      <c r="BC656" s="34"/>
      <c r="BD656" s="34"/>
      <c r="BE656" s="34"/>
      <c r="BF656" s="34"/>
      <c r="BG656" s="34"/>
      <c r="BH656" s="34"/>
      <c r="BI656" s="34"/>
      <c r="BJ656" s="34"/>
      <c r="BK656" s="34"/>
      <c r="BL656" s="34"/>
      <c r="BM656" s="34"/>
      <c r="DX656" s="1295" t="e">
        <f t="shared" si="4"/>
        <v>#VALUE!</v>
      </c>
      <c r="DY656" s="1295"/>
      <c r="DZ656" s="1295"/>
      <c r="EA656" s="1295"/>
      <c r="EB656" s="1295"/>
      <c r="EC656" s="1295" t="e">
        <f t="shared" si="5"/>
        <v>#VALUE!</v>
      </c>
      <c r="ED656" s="1295"/>
      <c r="EE656" s="1295"/>
      <c r="EF656" s="1295"/>
      <c r="EG656" s="1295"/>
      <c r="EH656" s="1295" t="e">
        <f t="shared" si="6"/>
        <v>#VALUE!</v>
      </c>
      <c r="EI656" s="1295"/>
      <c r="EJ656" s="1295"/>
      <c r="EK656" s="1295"/>
      <c r="EL656" s="1295"/>
      <c r="EM656" s="1295" t="e">
        <f t="shared" si="7"/>
        <v>#VALUE!</v>
      </c>
      <c r="EN656" s="1295"/>
      <c r="EO656" s="1295"/>
      <c r="EP656" s="1295"/>
      <c r="EQ656" s="1295"/>
      <c r="ER656" s="1295">
        <f t="shared" si="8"/>
        <v>742.77777777777783</v>
      </c>
      <c r="ES656" s="1295"/>
      <c r="ET656" s="1295"/>
      <c r="EU656" s="1295"/>
      <c r="EV656" s="1295"/>
      <c r="EW656" s="1295" t="e">
        <f t="shared" si="9"/>
        <v>#VALUE!</v>
      </c>
      <c r="EX656" s="1295"/>
      <c r="EY656" s="1295"/>
      <c r="EZ656" s="1295"/>
      <c r="FA656" s="1295"/>
    </row>
    <row r="657" spans="1:157" ht="12.95" customHeight="1">
      <c r="A657" s="22"/>
      <c r="B657" t="s">
        <v>20</v>
      </c>
      <c r="N657" s="1306" t="s">
        <v>543</v>
      </c>
      <c r="O657" s="1306"/>
      <c r="T657" s="22"/>
      <c r="U657" t="s">
        <v>20</v>
      </c>
      <c r="AG657" s="1306" t="s">
        <v>543</v>
      </c>
      <c r="AH657" s="1306"/>
      <c r="AZ657" s="34"/>
      <c r="BA657" s="34"/>
      <c r="BB657" s="34"/>
      <c r="BC657" s="34"/>
      <c r="BD657" s="34"/>
      <c r="BE657" s="34"/>
      <c r="BF657" s="34"/>
      <c r="BG657" s="34"/>
      <c r="BH657" s="34"/>
      <c r="BI657" s="34"/>
      <c r="BJ657" s="34"/>
      <c r="BK657" s="34"/>
      <c r="BL657" s="34"/>
      <c r="BM657" s="34"/>
      <c r="DX657" s="1295" t="e">
        <f t="shared" si="4"/>
        <v>#VALUE!</v>
      </c>
      <c r="DY657" s="1295"/>
      <c r="DZ657" s="1295"/>
      <c r="EA657" s="1295"/>
      <c r="EB657" s="1295"/>
      <c r="EC657" s="1295" t="e">
        <f t="shared" si="5"/>
        <v>#VALUE!</v>
      </c>
      <c r="ED657" s="1295"/>
      <c r="EE657" s="1295"/>
      <c r="EF657" s="1295"/>
      <c r="EG657" s="1295"/>
      <c r="EH657" s="1295" t="e">
        <f t="shared" si="6"/>
        <v>#VALUE!</v>
      </c>
      <c r="EI657" s="1295"/>
      <c r="EJ657" s="1295"/>
      <c r="EK657" s="1295"/>
      <c r="EL657" s="1295"/>
      <c r="EM657" s="1295" t="e">
        <f t="shared" si="7"/>
        <v>#VALUE!</v>
      </c>
      <c r="EN657" s="1295"/>
      <c r="EO657" s="1295"/>
      <c r="EP657" s="1295"/>
      <c r="EQ657" s="1295"/>
      <c r="ER657" s="1295">
        <f t="shared" si="8"/>
        <v>992.8888888888888</v>
      </c>
      <c r="ES657" s="1295"/>
      <c r="ET657" s="1295"/>
      <c r="EU657" s="1295"/>
      <c r="EV657" s="1295"/>
      <c r="EW657" s="1295" t="e">
        <f t="shared" si="9"/>
        <v>#VALUE!</v>
      </c>
      <c r="EX657" s="1295"/>
      <c r="EY657" s="1295"/>
      <c r="EZ657" s="1295"/>
      <c r="FA657" s="1295"/>
    </row>
    <row r="658" spans="1:157" ht="12.95" customHeight="1">
      <c r="A658" s="22"/>
      <c r="T658" s="22"/>
      <c r="AZ658" s="34"/>
      <c r="BA658" s="34"/>
      <c r="BB658" s="34"/>
      <c r="BC658" s="34"/>
      <c r="BD658" s="34"/>
      <c r="BE658" s="34"/>
      <c r="BF658" s="34"/>
      <c r="BG658" s="34"/>
      <c r="BH658" s="34"/>
      <c r="BI658" s="34"/>
      <c r="BJ658" s="34"/>
      <c r="BK658" s="34"/>
      <c r="BL658" s="34"/>
      <c r="BM658" s="34"/>
      <c r="DX658" s="1295" t="e">
        <f t="shared" si="4"/>
        <v>#VALUE!</v>
      </c>
      <c r="DY658" s="1295"/>
      <c r="DZ658" s="1295"/>
      <c r="EA658" s="1295"/>
      <c r="EB658" s="1295"/>
      <c r="EC658" s="1295" t="e">
        <f t="shared" si="5"/>
        <v>#VALUE!</v>
      </c>
      <c r="ED658" s="1295"/>
      <c r="EE658" s="1295"/>
      <c r="EF658" s="1295"/>
      <c r="EG658" s="1295"/>
      <c r="EH658" s="1295" t="e">
        <f t="shared" si="6"/>
        <v>#VALUE!</v>
      </c>
      <c r="EI658" s="1295"/>
      <c r="EJ658" s="1295"/>
      <c r="EK658" s="1295"/>
      <c r="EL658" s="1295"/>
      <c r="EM658" s="1295" t="e">
        <f t="shared" si="7"/>
        <v>#VALUE!</v>
      </c>
      <c r="EN658" s="1295"/>
      <c r="EO658" s="1295"/>
      <c r="EP658" s="1295"/>
      <c r="EQ658" s="1295"/>
      <c r="ER658" s="1295" t="e">
        <f t="shared" si="8"/>
        <v>#VALUE!</v>
      </c>
      <c r="ES658" s="1295"/>
      <c r="ET658" s="1295"/>
      <c r="EU658" s="1295"/>
      <c r="EV658" s="1295"/>
      <c r="EW658" s="1295" t="e">
        <f t="shared" si="9"/>
        <v>#VALUE!</v>
      </c>
      <c r="EX658" s="1295"/>
      <c r="EY658" s="1295"/>
      <c r="EZ658" s="1295"/>
      <c r="FA658" s="1295"/>
    </row>
    <row r="659" spans="1:157" ht="12.95" customHeight="1">
      <c r="A659" s="55" t="s">
        <v>119</v>
      </c>
      <c r="B659" t="s">
        <v>461</v>
      </c>
      <c r="G659" s="1296" t="str">
        <f>C637</f>
        <v>Freddie Mac / Berkadia</v>
      </c>
      <c r="H659" s="1296"/>
      <c r="I659" s="1296"/>
      <c r="J659" s="1296"/>
      <c r="K659" s="1296"/>
      <c r="L659" s="1296"/>
      <c r="M659" s="1296"/>
      <c r="N659" s="1296"/>
      <c r="O659" s="1296"/>
      <c r="P659" s="1296"/>
      <c r="Q659" s="1296"/>
      <c r="R659" s="1296"/>
      <c r="T659" s="55" t="s">
        <v>579</v>
      </c>
      <c r="U659" t="s">
        <v>461</v>
      </c>
      <c r="Z659" s="1296" t="str">
        <f>C638</f>
        <v>Stifel, Nicolaus &amp; Company, Incorporated</v>
      </c>
      <c r="AA659" s="1296"/>
      <c r="AB659" s="1296"/>
      <c r="AC659" s="1296"/>
      <c r="AD659" s="1296"/>
      <c r="AE659" s="1296"/>
      <c r="AF659" s="1296"/>
      <c r="AG659" s="1296"/>
      <c r="AH659" s="1296"/>
      <c r="AI659" s="1296"/>
      <c r="AJ659" s="1296"/>
      <c r="AK659" s="1296"/>
      <c r="AZ659" s="34"/>
      <c r="BA659" s="34"/>
      <c r="BB659" s="34"/>
      <c r="BC659" s="34"/>
      <c r="BD659" s="34"/>
      <c r="BE659" s="34"/>
      <c r="BF659" s="34"/>
      <c r="BG659" s="34"/>
      <c r="BH659" s="34"/>
      <c r="BI659" s="34"/>
      <c r="BJ659" s="34"/>
      <c r="BK659" s="34"/>
      <c r="BL659" s="34"/>
      <c r="BM659" s="34"/>
      <c r="DX659" s="1295" t="e">
        <f t="shared" si="4"/>
        <v>#VALUE!</v>
      </c>
      <c r="DY659" s="1295"/>
      <c r="DZ659" s="1295"/>
      <c r="EA659" s="1295"/>
      <c r="EB659" s="1295"/>
      <c r="EC659" s="1295" t="e">
        <f t="shared" si="5"/>
        <v>#VALUE!</v>
      </c>
      <c r="ED659" s="1295"/>
      <c r="EE659" s="1295"/>
      <c r="EF659" s="1295"/>
      <c r="EG659" s="1295"/>
      <c r="EH659" s="1295" t="e">
        <f t="shared" si="6"/>
        <v>#VALUE!</v>
      </c>
      <c r="EI659" s="1295"/>
      <c r="EJ659" s="1295"/>
      <c r="EK659" s="1295"/>
      <c r="EL659" s="1295"/>
      <c r="EM659" s="1295" t="e">
        <f t="shared" si="7"/>
        <v>#VALUE!</v>
      </c>
      <c r="EN659" s="1295"/>
      <c r="EO659" s="1295"/>
      <c r="EP659" s="1295"/>
      <c r="EQ659" s="1295"/>
      <c r="ER659" s="1295" t="e">
        <f t="shared" si="8"/>
        <v>#VALUE!</v>
      </c>
      <c r="ES659" s="1295"/>
      <c r="ET659" s="1295"/>
      <c r="EU659" s="1295"/>
      <c r="EV659" s="1295"/>
      <c r="EW659" s="1295" t="e">
        <f t="shared" si="9"/>
        <v>#VALUE!</v>
      </c>
      <c r="EX659" s="1295"/>
      <c r="EY659" s="1295"/>
      <c r="EZ659" s="1295"/>
      <c r="FA659" s="1295"/>
    </row>
    <row r="660" spans="1:157" ht="12.95" customHeight="1">
      <c r="A660" s="22"/>
      <c r="B660" t="s">
        <v>85</v>
      </c>
      <c r="G660" s="1348" t="s">
        <v>2717</v>
      </c>
      <c r="H660" s="1348"/>
      <c r="I660" s="1348"/>
      <c r="J660" s="1348"/>
      <c r="K660" s="1348"/>
      <c r="L660" s="1348"/>
      <c r="M660" s="1348"/>
      <c r="N660" s="1348"/>
      <c r="O660" s="1348"/>
      <c r="P660" s="1348"/>
      <c r="Q660" s="1348"/>
      <c r="R660" s="1348"/>
      <c r="T660" s="22"/>
      <c r="U660" t="s">
        <v>85</v>
      </c>
      <c r="Z660" s="1348" t="s">
        <v>2755</v>
      </c>
      <c r="AA660" s="1348"/>
      <c r="AB660" s="1348"/>
      <c r="AC660" s="1348"/>
      <c r="AD660" s="1348"/>
      <c r="AE660" s="1348"/>
      <c r="AF660" s="1348"/>
      <c r="AG660" s="1348"/>
      <c r="AH660" s="1348"/>
      <c r="AI660" s="1348"/>
      <c r="AJ660" s="1348"/>
      <c r="AK660" s="1348"/>
      <c r="AZ660" s="34"/>
      <c r="BA660" s="34"/>
      <c r="BB660" s="34"/>
      <c r="BC660" s="34"/>
      <c r="BD660" s="34"/>
      <c r="BE660" s="34"/>
      <c r="BF660" s="34"/>
      <c r="BG660" s="34"/>
      <c r="BH660" s="34"/>
      <c r="BI660" s="34"/>
      <c r="BJ660" s="34"/>
      <c r="BK660" s="34"/>
      <c r="BL660" s="34"/>
      <c r="BM660" s="34"/>
      <c r="DX660" s="1295" t="e">
        <f t="shared" si="4"/>
        <v>#VALUE!</v>
      </c>
      <c r="DY660" s="1295"/>
      <c r="DZ660" s="1295"/>
      <c r="EA660" s="1295"/>
      <c r="EB660" s="1295"/>
      <c r="EC660" s="1295" t="e">
        <f t="shared" si="5"/>
        <v>#VALUE!</v>
      </c>
      <c r="ED660" s="1295"/>
      <c r="EE660" s="1295"/>
      <c r="EF660" s="1295"/>
      <c r="EG660" s="1295"/>
      <c r="EH660" s="1295" t="e">
        <f t="shared" si="6"/>
        <v>#VALUE!</v>
      </c>
      <c r="EI660" s="1295"/>
      <c r="EJ660" s="1295"/>
      <c r="EK660" s="1295"/>
      <c r="EL660" s="1295"/>
      <c r="EM660" s="1295" t="e">
        <f t="shared" si="7"/>
        <v>#VALUE!</v>
      </c>
      <c r="EN660" s="1295"/>
      <c r="EO660" s="1295"/>
      <c r="EP660" s="1295"/>
      <c r="EQ660" s="1295"/>
      <c r="ER660" s="1295" t="e">
        <f t="shared" si="8"/>
        <v>#VALUE!</v>
      </c>
      <c r="ES660" s="1295"/>
      <c r="ET660" s="1295"/>
      <c r="EU660" s="1295"/>
      <c r="EV660" s="1295"/>
      <c r="EW660" s="1295" t="e">
        <f t="shared" si="9"/>
        <v>#VALUE!</v>
      </c>
      <c r="EX660" s="1295"/>
      <c r="EY660" s="1295"/>
      <c r="EZ660" s="1295"/>
      <c r="FA660" s="1295"/>
    </row>
    <row r="661" spans="1:157" ht="12.95" customHeight="1">
      <c r="A661" s="22"/>
      <c r="B661" t="s">
        <v>578</v>
      </c>
      <c r="G661" s="1335" t="s">
        <v>2718</v>
      </c>
      <c r="H661" s="1335"/>
      <c r="I661" s="1335"/>
      <c r="J661" s="1335"/>
      <c r="K661" s="1335"/>
      <c r="L661" s="1335"/>
      <c r="M661" s="1335"/>
      <c r="N661" s="1335"/>
      <c r="O661" s="1335"/>
      <c r="P661" s="1335"/>
      <c r="Q661" s="1335"/>
      <c r="R661" s="1335"/>
      <c r="T661" s="22"/>
      <c r="U661" t="s">
        <v>578</v>
      </c>
      <c r="Z661" s="1335" t="s">
        <v>2756</v>
      </c>
      <c r="AA661" s="1335"/>
      <c r="AB661" s="1335"/>
      <c r="AC661" s="1335"/>
      <c r="AD661" s="1335"/>
      <c r="AE661" s="1335"/>
      <c r="AF661" s="1335"/>
      <c r="AG661" s="1335"/>
      <c r="AH661" s="1335"/>
      <c r="AI661" s="1335"/>
      <c r="AJ661" s="1335"/>
      <c r="AK661" s="1335"/>
      <c r="AZ661" s="34"/>
      <c r="BA661" s="34"/>
      <c r="BB661" s="34"/>
      <c r="BC661" s="34"/>
      <c r="BD661" s="34"/>
      <c r="BE661" s="34"/>
      <c r="BF661" s="34"/>
      <c r="BG661" s="34"/>
      <c r="BH661" s="34"/>
      <c r="BI661" s="34"/>
      <c r="BJ661" s="34"/>
      <c r="BK661" s="34"/>
      <c r="BL661" s="34"/>
      <c r="BM661" s="34"/>
      <c r="DX661" s="1295" t="e">
        <f t="shared" si="4"/>
        <v>#VALUE!</v>
      </c>
      <c r="DY661" s="1295"/>
      <c r="DZ661" s="1295"/>
      <c r="EA661" s="1295"/>
      <c r="EB661" s="1295"/>
      <c r="EC661" s="1295" t="e">
        <f t="shared" si="5"/>
        <v>#VALUE!</v>
      </c>
      <c r="ED661" s="1295"/>
      <c r="EE661" s="1295"/>
      <c r="EF661" s="1295"/>
      <c r="EG661" s="1295"/>
      <c r="EH661" s="1295" t="e">
        <f t="shared" si="6"/>
        <v>#VALUE!</v>
      </c>
      <c r="EI661" s="1295"/>
      <c r="EJ661" s="1295"/>
      <c r="EK661" s="1295"/>
      <c r="EL661" s="1295"/>
      <c r="EM661" s="1295" t="e">
        <f t="shared" si="7"/>
        <v>#VALUE!</v>
      </c>
      <c r="EN661" s="1295"/>
      <c r="EO661" s="1295"/>
      <c r="EP661" s="1295"/>
      <c r="EQ661" s="1295"/>
      <c r="ER661" s="1295" t="e">
        <f t="shared" si="8"/>
        <v>#VALUE!</v>
      </c>
      <c r="ES661" s="1295"/>
      <c r="ET661" s="1295"/>
      <c r="EU661" s="1295"/>
      <c r="EV661" s="1295"/>
      <c r="EW661" s="1295" t="e">
        <f t="shared" si="9"/>
        <v>#VALUE!</v>
      </c>
      <c r="EX661" s="1295"/>
      <c r="EY661" s="1295"/>
      <c r="EZ661" s="1295"/>
      <c r="FA661" s="1295"/>
    </row>
    <row r="662" spans="1:157" ht="12.95" customHeight="1">
      <c r="A662" s="22"/>
      <c r="B662" t="s">
        <v>17</v>
      </c>
      <c r="G662" s="1335" t="s">
        <v>2719</v>
      </c>
      <c r="H662" s="1335"/>
      <c r="I662" s="1335"/>
      <c r="J662" s="1335"/>
      <c r="K662" s="1335"/>
      <c r="L662" s="1335"/>
      <c r="M662" s="1335"/>
      <c r="N662" s="1335"/>
      <c r="O662" s="1335"/>
      <c r="P662" s="1335"/>
      <c r="Q662" s="1335"/>
      <c r="R662" s="1335"/>
      <c r="T662" s="22"/>
      <c r="U662" t="s">
        <v>17</v>
      </c>
      <c r="Z662" s="1335" t="s">
        <v>2754</v>
      </c>
      <c r="AA662" s="1335"/>
      <c r="AB662" s="1335"/>
      <c r="AC662" s="1335"/>
      <c r="AD662" s="1335"/>
      <c r="AE662" s="1335"/>
      <c r="AF662" s="1335"/>
      <c r="AG662" s="1335"/>
      <c r="AH662" s="1335"/>
      <c r="AI662" s="1335"/>
      <c r="AJ662" s="1335"/>
      <c r="AK662" s="1335"/>
      <c r="AZ662" s="34"/>
      <c r="BA662" s="34"/>
      <c r="BB662" s="34"/>
      <c r="BC662" s="34"/>
      <c r="BD662" s="34"/>
      <c r="BE662" s="34"/>
      <c r="BF662" s="34"/>
      <c r="BG662" s="34"/>
      <c r="BH662" s="34"/>
      <c r="BI662" s="34"/>
      <c r="BJ662" s="34"/>
      <c r="BK662" s="34"/>
      <c r="BL662" s="34"/>
      <c r="BM662" s="34"/>
      <c r="DX662" s="1295" t="e">
        <f t="shared" si="4"/>
        <v>#VALUE!</v>
      </c>
      <c r="DY662" s="1295"/>
      <c r="DZ662" s="1295"/>
      <c r="EA662" s="1295"/>
      <c r="EB662" s="1295"/>
      <c r="EC662" s="1295" t="e">
        <f t="shared" si="5"/>
        <v>#VALUE!</v>
      </c>
      <c r="ED662" s="1295"/>
      <c r="EE662" s="1295"/>
      <c r="EF662" s="1295"/>
      <c r="EG662" s="1295"/>
      <c r="EH662" s="1295" t="e">
        <f t="shared" si="6"/>
        <v>#VALUE!</v>
      </c>
      <c r="EI662" s="1295"/>
      <c r="EJ662" s="1295"/>
      <c r="EK662" s="1295"/>
      <c r="EL662" s="1295"/>
      <c r="EM662" s="1295" t="e">
        <f t="shared" si="7"/>
        <v>#VALUE!</v>
      </c>
      <c r="EN662" s="1295"/>
      <c r="EO662" s="1295"/>
      <c r="EP662" s="1295"/>
      <c r="EQ662" s="1295"/>
      <c r="ER662" s="1295" t="e">
        <f t="shared" si="8"/>
        <v>#VALUE!</v>
      </c>
      <c r="ES662" s="1295"/>
      <c r="ET662" s="1295"/>
      <c r="EU662" s="1295"/>
      <c r="EV662" s="1295"/>
      <c r="EW662" s="1295" t="e">
        <f t="shared" si="9"/>
        <v>#VALUE!</v>
      </c>
      <c r="EX662" s="1295"/>
      <c r="EY662" s="1295"/>
      <c r="EZ662" s="1295"/>
      <c r="FA662" s="1295"/>
    </row>
    <row r="663" spans="1:157" ht="12.95" customHeight="1">
      <c r="A663" s="22"/>
      <c r="B663" t="s">
        <v>315</v>
      </c>
      <c r="G663" s="1310">
        <v>2143603849</v>
      </c>
      <c r="H663" s="1310"/>
      <c r="I663" s="1310"/>
      <c r="J663" s="1310"/>
      <c r="K663" s="1310"/>
      <c r="L663" s="1310"/>
      <c r="O663" s="33" t="s">
        <v>205</v>
      </c>
      <c r="P663" s="1336"/>
      <c r="Q663" s="1336"/>
      <c r="R663" s="1336"/>
      <c r="T663" s="22"/>
      <c r="U663" t="s">
        <v>315</v>
      </c>
      <c r="Z663" s="1310">
        <v>3032915263</v>
      </c>
      <c r="AA663" s="1310"/>
      <c r="AB663" s="1310"/>
      <c r="AC663" s="1310"/>
      <c r="AD663" s="1310"/>
      <c r="AE663" s="1310"/>
      <c r="AH663" s="33" t="s">
        <v>205</v>
      </c>
      <c r="AI663" s="1336"/>
      <c r="AJ663" s="1336"/>
      <c r="AK663" s="1336"/>
      <c r="AZ663" s="34"/>
      <c r="BA663" s="34"/>
      <c r="BB663" s="34"/>
      <c r="BC663" s="34"/>
      <c r="BD663" s="34"/>
      <c r="BE663" s="34"/>
      <c r="BF663" s="34"/>
      <c r="BG663" s="34"/>
      <c r="BH663" s="34"/>
      <c r="BI663" s="34"/>
      <c r="BJ663" s="34"/>
      <c r="BK663" s="34"/>
      <c r="BL663" s="34"/>
      <c r="BM663" s="34"/>
      <c r="DX663" s="1295" t="e">
        <f t="shared" si="4"/>
        <v>#VALUE!</v>
      </c>
      <c r="DY663" s="1295"/>
      <c r="DZ663" s="1295"/>
      <c r="EA663" s="1295"/>
      <c r="EB663" s="1295"/>
      <c r="EC663" s="1295" t="e">
        <f t="shared" si="5"/>
        <v>#VALUE!</v>
      </c>
      <c r="ED663" s="1295"/>
      <c r="EE663" s="1295"/>
      <c r="EF663" s="1295"/>
      <c r="EG663" s="1295"/>
      <c r="EH663" s="1295" t="e">
        <f t="shared" si="6"/>
        <v>#VALUE!</v>
      </c>
      <c r="EI663" s="1295"/>
      <c r="EJ663" s="1295"/>
      <c r="EK663" s="1295"/>
      <c r="EL663" s="1295"/>
      <c r="EM663" s="1295" t="e">
        <f t="shared" si="7"/>
        <v>#VALUE!</v>
      </c>
      <c r="EN663" s="1295"/>
      <c r="EO663" s="1295"/>
      <c r="EP663" s="1295"/>
      <c r="EQ663" s="1295"/>
      <c r="ER663" s="1295" t="e">
        <f t="shared" si="8"/>
        <v>#VALUE!</v>
      </c>
      <c r="ES663" s="1295"/>
      <c r="ET663" s="1295"/>
      <c r="EU663" s="1295"/>
      <c r="EV663" s="1295"/>
      <c r="EW663" s="1295" t="e">
        <f t="shared" si="9"/>
        <v>#VALUE!</v>
      </c>
      <c r="EX663" s="1295"/>
      <c r="EY663" s="1295"/>
      <c r="EZ663" s="1295"/>
      <c r="FA663" s="1295"/>
    </row>
    <row r="664" spans="1:157" ht="12.95" customHeight="1">
      <c r="A664" s="22"/>
      <c r="B664" t="s">
        <v>18</v>
      </c>
      <c r="H664" s="1348" t="s">
        <v>2071</v>
      </c>
      <c r="I664" s="1348"/>
      <c r="J664" s="1348"/>
      <c r="K664" s="1348"/>
      <c r="L664" s="1348"/>
      <c r="M664" s="1348"/>
      <c r="N664" s="1348"/>
      <c r="O664" s="1348"/>
      <c r="P664" s="1348"/>
      <c r="Q664" s="1348"/>
      <c r="R664" s="1348"/>
      <c r="T664" s="22"/>
      <c r="U664" t="s">
        <v>18</v>
      </c>
      <c r="AA664" s="1348" t="s">
        <v>2721</v>
      </c>
      <c r="AB664" s="1348"/>
      <c r="AC664" s="1348"/>
      <c r="AD664" s="1348"/>
      <c r="AE664" s="1348"/>
      <c r="AF664" s="1348"/>
      <c r="AG664" s="1348"/>
      <c r="AH664" s="1348"/>
      <c r="AI664" s="1348"/>
      <c r="AJ664" s="1348"/>
      <c r="AK664" s="1348"/>
      <c r="AZ664" s="34"/>
      <c r="BA664" s="34"/>
      <c r="BB664" s="34"/>
      <c r="BC664" s="34"/>
      <c r="BD664" s="34"/>
      <c r="BE664" s="34"/>
      <c r="BF664" s="34"/>
      <c r="BG664" s="34"/>
      <c r="BH664" s="34"/>
      <c r="BI664" s="34"/>
      <c r="BJ664" s="34"/>
      <c r="BK664" s="34"/>
      <c r="BL664" s="34"/>
      <c r="BM664" s="34"/>
      <c r="DX664" s="1295" t="e">
        <f t="shared" si="4"/>
        <v>#VALUE!</v>
      </c>
      <c r="DY664" s="1295"/>
      <c r="DZ664" s="1295"/>
      <c r="EA664" s="1295"/>
      <c r="EB664" s="1295"/>
      <c r="EC664" s="1295" t="e">
        <f t="shared" si="5"/>
        <v>#VALUE!</v>
      </c>
      <c r="ED664" s="1295"/>
      <c r="EE664" s="1295"/>
      <c r="EF664" s="1295"/>
      <c r="EG664" s="1295"/>
      <c r="EH664" s="1295" t="e">
        <f t="shared" si="6"/>
        <v>#VALUE!</v>
      </c>
      <c r="EI664" s="1295"/>
      <c r="EJ664" s="1295"/>
      <c r="EK664" s="1295"/>
      <c r="EL664" s="1295"/>
      <c r="EM664" s="1295" t="e">
        <f t="shared" si="7"/>
        <v>#VALUE!</v>
      </c>
      <c r="EN664" s="1295"/>
      <c r="EO664" s="1295"/>
      <c r="EP664" s="1295"/>
      <c r="EQ664" s="1295"/>
      <c r="ER664" s="1295" t="e">
        <f t="shared" si="8"/>
        <v>#VALUE!</v>
      </c>
      <c r="ES664" s="1295"/>
      <c r="ET664" s="1295"/>
      <c r="EU664" s="1295"/>
      <c r="EV664" s="1295"/>
      <c r="EW664" s="1295" t="e">
        <f t="shared" si="9"/>
        <v>#VALUE!</v>
      </c>
      <c r="EX664" s="1295"/>
      <c r="EY664" s="1295"/>
      <c r="EZ664" s="1295"/>
      <c r="FA664" s="1295"/>
    </row>
    <row r="665" spans="1:157" ht="12.95" customHeight="1">
      <c r="A665" s="22"/>
      <c r="B665" t="s">
        <v>20</v>
      </c>
      <c r="N665" s="1306" t="s">
        <v>543</v>
      </c>
      <c r="O665" s="1306"/>
      <c r="T665" s="22"/>
      <c r="U665" t="s">
        <v>20</v>
      </c>
      <c r="AG665" s="1306" t="s">
        <v>543</v>
      </c>
      <c r="AH665" s="1306"/>
      <c r="AZ665" s="34"/>
      <c r="BA665" s="34"/>
      <c r="BB665" s="34"/>
      <c r="BC665" s="34"/>
      <c r="BD665" s="34"/>
      <c r="BE665" s="34"/>
      <c r="BF665" s="34"/>
      <c r="BG665" s="34"/>
      <c r="BH665" s="34"/>
      <c r="BI665" s="34"/>
      <c r="BJ665" s="34"/>
      <c r="BK665" s="34"/>
      <c r="BL665" s="34"/>
      <c r="BM665" s="34"/>
      <c r="DX665" s="1295" t="e">
        <f t="shared" si="4"/>
        <v>#VALUE!</v>
      </c>
      <c r="DY665" s="1295"/>
      <c r="DZ665" s="1295"/>
      <c r="EA665" s="1295"/>
      <c r="EB665" s="1295"/>
      <c r="EC665" s="1295" t="e">
        <f t="shared" si="5"/>
        <v>#VALUE!</v>
      </c>
      <c r="ED665" s="1295"/>
      <c r="EE665" s="1295"/>
      <c r="EF665" s="1295"/>
      <c r="EG665" s="1295"/>
      <c r="EH665" s="1295" t="e">
        <f t="shared" si="6"/>
        <v>#VALUE!</v>
      </c>
      <c r="EI665" s="1295"/>
      <c r="EJ665" s="1295"/>
      <c r="EK665" s="1295"/>
      <c r="EL665" s="1295"/>
      <c r="EM665" s="1295" t="e">
        <f t="shared" si="7"/>
        <v>#VALUE!</v>
      </c>
      <c r="EN665" s="1295"/>
      <c r="EO665" s="1295"/>
      <c r="EP665" s="1295"/>
      <c r="EQ665" s="1295"/>
      <c r="ER665" s="1295" t="e">
        <f t="shared" si="8"/>
        <v>#VALUE!</v>
      </c>
      <c r="ES665" s="1295"/>
      <c r="ET665" s="1295"/>
      <c r="EU665" s="1295"/>
      <c r="EV665" s="1295"/>
      <c r="EW665" s="1295" t="e">
        <f t="shared" si="9"/>
        <v>#VALUE!</v>
      </c>
      <c r="EX665" s="1295"/>
      <c r="EY665" s="1295"/>
      <c r="EZ665" s="1295"/>
      <c r="FA665" s="1295"/>
    </row>
    <row r="666" spans="1:157" ht="12.95" customHeight="1">
      <c r="A666" s="22"/>
      <c r="T666" s="22"/>
      <c r="AZ666" s="34"/>
      <c r="BA666" s="34"/>
      <c r="BB666" s="34"/>
      <c r="BC666" s="34"/>
      <c r="BD666" s="34"/>
      <c r="BE666" s="34"/>
      <c r="BF666" s="34"/>
      <c r="BG666" s="34"/>
      <c r="BH666" s="34"/>
      <c r="BI666" s="34"/>
      <c r="BJ666" s="34"/>
      <c r="BK666" s="34"/>
      <c r="BL666" s="34"/>
      <c r="BM666" s="34"/>
      <c r="DX666" s="1295" t="e">
        <f t="shared" si="4"/>
        <v>#VALUE!</v>
      </c>
      <c r="DY666" s="1295"/>
      <c r="DZ666" s="1295"/>
      <c r="EA666" s="1295"/>
      <c r="EB666" s="1295"/>
      <c r="EC666" s="1295" t="e">
        <f t="shared" si="5"/>
        <v>#VALUE!</v>
      </c>
      <c r="ED666" s="1295"/>
      <c r="EE666" s="1295"/>
      <c r="EF666" s="1295"/>
      <c r="EG666" s="1295"/>
      <c r="EH666" s="1295" t="e">
        <f t="shared" si="6"/>
        <v>#VALUE!</v>
      </c>
      <c r="EI666" s="1295"/>
      <c r="EJ666" s="1295"/>
      <c r="EK666" s="1295"/>
      <c r="EL666" s="1295"/>
      <c r="EM666" s="1295" t="e">
        <f t="shared" si="7"/>
        <v>#VALUE!</v>
      </c>
      <c r="EN666" s="1295"/>
      <c r="EO666" s="1295"/>
      <c r="EP666" s="1295"/>
      <c r="EQ666" s="1295"/>
      <c r="ER666" s="1295" t="e">
        <f t="shared" si="8"/>
        <v>#VALUE!</v>
      </c>
      <c r="ES666" s="1295"/>
      <c r="ET666" s="1295"/>
      <c r="EU666" s="1295"/>
      <c r="EV666" s="1295"/>
      <c r="EW666" s="1295" t="e">
        <f t="shared" si="9"/>
        <v>#VALUE!</v>
      </c>
      <c r="EX666" s="1295"/>
      <c r="EY666" s="1295"/>
      <c r="EZ666" s="1295"/>
      <c r="FA666" s="1295"/>
    </row>
    <row r="667" spans="1:157" ht="12.95" customHeight="1">
      <c r="A667" s="55" t="s">
        <v>761</v>
      </c>
      <c r="B667" t="s">
        <v>461</v>
      </c>
      <c r="G667" s="1296" t="str">
        <f>C639</f>
        <v>Cashflow From Operations</v>
      </c>
      <c r="H667" s="1296"/>
      <c r="I667" s="1296"/>
      <c r="J667" s="1296"/>
      <c r="K667" s="1296"/>
      <c r="L667" s="1296"/>
      <c r="M667" s="1296"/>
      <c r="N667" s="1296"/>
      <c r="O667" s="1296"/>
      <c r="P667" s="1296"/>
      <c r="Q667" s="1296"/>
      <c r="R667" s="1296"/>
      <c r="T667" s="55" t="s">
        <v>582</v>
      </c>
      <c r="U667" t="s">
        <v>461</v>
      </c>
      <c r="Z667" s="1296" t="str">
        <f>C640</f>
        <v>Short-Term Bond Reinvestment Proceeds</v>
      </c>
      <c r="AA667" s="1296"/>
      <c r="AB667" s="1296"/>
      <c r="AC667" s="1296"/>
      <c r="AD667" s="1296"/>
      <c r="AE667" s="1296"/>
      <c r="AF667" s="1296"/>
      <c r="AG667" s="1296"/>
      <c r="AH667" s="1296"/>
      <c r="AI667" s="1296"/>
      <c r="AJ667" s="1296"/>
      <c r="AK667" s="1296"/>
      <c r="AZ667" s="34"/>
      <c r="BA667" s="34"/>
      <c r="BB667" s="34"/>
      <c r="BC667" s="34"/>
      <c r="BD667" s="34"/>
      <c r="BE667" s="34"/>
      <c r="BF667" s="34"/>
      <c r="BG667" s="34"/>
      <c r="BH667" s="34"/>
      <c r="BI667" s="34"/>
      <c r="BJ667" s="34"/>
      <c r="BK667" s="34"/>
      <c r="BL667" s="34"/>
      <c r="BM667" s="34"/>
      <c r="DX667" s="1295" t="e">
        <f t="shared" si="4"/>
        <v>#VALUE!</v>
      </c>
      <c r="DY667" s="1295"/>
      <c r="DZ667" s="1295"/>
      <c r="EA667" s="1295"/>
      <c r="EB667" s="1295"/>
      <c r="EC667" s="1295" t="e">
        <f t="shared" si="5"/>
        <v>#VALUE!</v>
      </c>
      <c r="ED667" s="1295"/>
      <c r="EE667" s="1295"/>
      <c r="EF667" s="1295"/>
      <c r="EG667" s="1295"/>
      <c r="EH667" s="1295" t="e">
        <f t="shared" si="6"/>
        <v>#VALUE!</v>
      </c>
      <c r="EI667" s="1295"/>
      <c r="EJ667" s="1295"/>
      <c r="EK667" s="1295"/>
      <c r="EL667" s="1295"/>
      <c r="EM667" s="1295" t="e">
        <f t="shared" si="7"/>
        <v>#VALUE!</v>
      </c>
      <c r="EN667" s="1295"/>
      <c r="EO667" s="1295"/>
      <c r="EP667" s="1295"/>
      <c r="EQ667" s="1295"/>
      <c r="ER667" s="1295" t="e">
        <f t="shared" si="8"/>
        <v>#VALUE!</v>
      </c>
      <c r="ES667" s="1295"/>
      <c r="ET667" s="1295"/>
      <c r="EU667" s="1295"/>
      <c r="EV667" s="1295"/>
      <c r="EW667" s="1295" t="e">
        <f t="shared" si="9"/>
        <v>#VALUE!</v>
      </c>
      <c r="EX667" s="1295"/>
      <c r="EY667" s="1295"/>
      <c r="EZ667" s="1295"/>
      <c r="FA667" s="1295"/>
    </row>
    <row r="668" spans="1:157" ht="12.95" customHeight="1">
      <c r="A668" s="22"/>
      <c r="B668" t="s">
        <v>85</v>
      </c>
      <c r="G668" s="1348" t="s">
        <v>2726</v>
      </c>
      <c r="H668" s="1348"/>
      <c r="I668" s="1348"/>
      <c r="J668" s="1348"/>
      <c r="K668" s="1348"/>
      <c r="L668" s="1348"/>
      <c r="M668" s="1348"/>
      <c r="N668" s="1348"/>
      <c r="O668" s="1348"/>
      <c r="P668" s="1348"/>
      <c r="Q668" s="1348"/>
      <c r="R668" s="1348"/>
      <c r="T668" s="22"/>
      <c r="U668" t="s">
        <v>85</v>
      </c>
      <c r="Z668" s="1348" t="s">
        <v>2726</v>
      </c>
      <c r="AA668" s="1348"/>
      <c r="AB668" s="1348"/>
      <c r="AC668" s="1348"/>
      <c r="AD668" s="1348"/>
      <c r="AE668" s="1348"/>
      <c r="AF668" s="1348"/>
      <c r="AG668" s="1348"/>
      <c r="AH668" s="1348"/>
      <c r="AI668" s="1348"/>
      <c r="AJ668" s="1348"/>
      <c r="AK668" s="1348"/>
      <c r="AZ668" s="34"/>
      <c r="BA668" s="34"/>
      <c r="BB668" s="34"/>
      <c r="BC668" s="34"/>
      <c r="BD668" s="34"/>
      <c r="BE668" s="34"/>
      <c r="BF668" s="34"/>
      <c r="BG668" s="34"/>
      <c r="BH668" s="34"/>
      <c r="BI668" s="34"/>
      <c r="BJ668" s="34"/>
      <c r="BK668" s="34"/>
      <c r="BL668" s="34"/>
      <c r="BM668" s="34"/>
      <c r="DX668" s="1295" t="e">
        <f t="shared" si="4"/>
        <v>#VALUE!</v>
      </c>
      <c r="DY668" s="1295"/>
      <c r="DZ668" s="1295"/>
      <c r="EA668" s="1295"/>
      <c r="EB668" s="1295"/>
      <c r="EC668" s="1295" t="e">
        <f t="shared" si="5"/>
        <v>#VALUE!</v>
      </c>
      <c r="ED668" s="1295"/>
      <c r="EE668" s="1295"/>
      <c r="EF668" s="1295"/>
      <c r="EG668" s="1295"/>
      <c r="EH668" s="1295" t="e">
        <f t="shared" si="6"/>
        <v>#VALUE!</v>
      </c>
      <c r="EI668" s="1295"/>
      <c r="EJ668" s="1295"/>
      <c r="EK668" s="1295"/>
      <c r="EL668" s="1295"/>
      <c r="EM668" s="1295" t="e">
        <f t="shared" si="7"/>
        <v>#VALUE!</v>
      </c>
      <c r="EN668" s="1295"/>
      <c r="EO668" s="1295"/>
      <c r="EP668" s="1295"/>
      <c r="EQ668" s="1295"/>
      <c r="ER668" s="1295" t="e">
        <f t="shared" si="8"/>
        <v>#VALUE!</v>
      </c>
      <c r="ES668" s="1295"/>
      <c r="ET668" s="1295"/>
      <c r="EU668" s="1295"/>
      <c r="EV668" s="1295"/>
      <c r="EW668" s="1295" t="e">
        <f t="shared" si="9"/>
        <v>#VALUE!</v>
      </c>
      <c r="EX668" s="1295"/>
      <c r="EY668" s="1295"/>
      <c r="EZ668" s="1295"/>
      <c r="FA668" s="1295"/>
    </row>
    <row r="669" spans="1:157" ht="12.95" customHeight="1">
      <c r="A669" s="22"/>
      <c r="B669" t="s">
        <v>578</v>
      </c>
      <c r="G669" s="1348" t="s">
        <v>2672</v>
      </c>
      <c r="H669" s="1348"/>
      <c r="I669" s="1348"/>
      <c r="J669" s="1348"/>
      <c r="K669" s="1348"/>
      <c r="L669" s="1348"/>
      <c r="M669" s="1348"/>
      <c r="N669" s="1348"/>
      <c r="O669" s="1348"/>
      <c r="P669" s="1348"/>
      <c r="Q669" s="1348"/>
      <c r="R669" s="1348"/>
      <c r="T669" s="22"/>
      <c r="U669" t="s">
        <v>578</v>
      </c>
      <c r="Z669" s="1335" t="s">
        <v>2672</v>
      </c>
      <c r="AA669" s="1335"/>
      <c r="AB669" s="1335"/>
      <c r="AC669" s="1335"/>
      <c r="AD669" s="1335"/>
      <c r="AE669" s="1335"/>
      <c r="AF669" s="1335"/>
      <c r="AG669" s="1335"/>
      <c r="AH669" s="1335"/>
      <c r="AI669" s="1335"/>
      <c r="AJ669" s="1335"/>
      <c r="AK669" s="1335"/>
      <c r="AZ669" s="34"/>
      <c r="BA669" s="34"/>
      <c r="BB669" s="34"/>
      <c r="BC669" s="34"/>
      <c r="BD669" s="34"/>
      <c r="BE669" s="34"/>
      <c r="BF669" s="34"/>
      <c r="BG669" s="34"/>
      <c r="BH669" s="34"/>
      <c r="BI669" s="34"/>
      <c r="BJ669" s="34"/>
      <c r="BK669" s="34"/>
      <c r="BL669" s="34"/>
      <c r="BM669" s="34"/>
      <c r="DX669" s="1295" t="e">
        <f t="shared" si="4"/>
        <v>#VALUE!</v>
      </c>
      <c r="DY669" s="1295"/>
      <c r="DZ669" s="1295"/>
      <c r="EA669" s="1295"/>
      <c r="EB669" s="1295"/>
      <c r="EC669" s="1295" t="e">
        <f t="shared" si="5"/>
        <v>#VALUE!</v>
      </c>
      <c r="ED669" s="1295"/>
      <c r="EE669" s="1295"/>
      <c r="EF669" s="1295"/>
      <c r="EG669" s="1295"/>
      <c r="EH669" s="1295" t="e">
        <f t="shared" si="6"/>
        <v>#VALUE!</v>
      </c>
      <c r="EI669" s="1295"/>
      <c r="EJ669" s="1295"/>
      <c r="EK669" s="1295"/>
      <c r="EL669" s="1295"/>
      <c r="EM669" s="1295" t="e">
        <f t="shared" si="7"/>
        <v>#VALUE!</v>
      </c>
      <c r="EN669" s="1295"/>
      <c r="EO669" s="1295"/>
      <c r="EP669" s="1295"/>
      <c r="EQ669" s="1295"/>
      <c r="ER669" s="1295" t="e">
        <f t="shared" si="8"/>
        <v>#VALUE!</v>
      </c>
      <c r="ES669" s="1295"/>
      <c r="ET669" s="1295"/>
      <c r="EU669" s="1295"/>
      <c r="EV669" s="1295"/>
      <c r="EW669" s="1295" t="e">
        <f t="shared" si="9"/>
        <v>#VALUE!</v>
      </c>
      <c r="EX669" s="1295"/>
      <c r="EY669" s="1295"/>
      <c r="EZ669" s="1295"/>
      <c r="FA669" s="1295"/>
    </row>
    <row r="670" spans="1:157" ht="12.95" customHeight="1">
      <c r="A670" s="22"/>
      <c r="B670" t="s">
        <v>17</v>
      </c>
      <c r="G670" s="1348" t="s">
        <v>2669</v>
      </c>
      <c r="H670" s="1348"/>
      <c r="I670" s="1348"/>
      <c r="J670" s="1348"/>
      <c r="K670" s="1348"/>
      <c r="L670" s="1348"/>
      <c r="M670" s="1348"/>
      <c r="N670" s="1348"/>
      <c r="O670" s="1348"/>
      <c r="P670" s="1348"/>
      <c r="Q670" s="1348"/>
      <c r="R670" s="1348"/>
      <c r="T670" s="22"/>
      <c r="U670" t="s">
        <v>17</v>
      </c>
      <c r="Z670" s="1335" t="s">
        <v>2669</v>
      </c>
      <c r="AA670" s="1335"/>
      <c r="AB670" s="1335"/>
      <c r="AC670" s="1335"/>
      <c r="AD670" s="1335"/>
      <c r="AE670" s="1335"/>
      <c r="AF670" s="1335"/>
      <c r="AG670" s="1335"/>
      <c r="AH670" s="1335"/>
      <c r="AI670" s="1335"/>
      <c r="AJ670" s="1335"/>
      <c r="AK670" s="133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5" t="e">
        <f t="shared" si="4"/>
        <v>#VALUE!</v>
      </c>
      <c r="DY670" s="1295"/>
      <c r="DZ670" s="1295"/>
      <c r="EA670" s="1295"/>
      <c r="EB670" s="1295"/>
      <c r="EC670" s="1295" t="e">
        <f t="shared" si="5"/>
        <v>#VALUE!</v>
      </c>
      <c r="ED670" s="1295"/>
      <c r="EE670" s="1295"/>
      <c r="EF670" s="1295"/>
      <c r="EG670" s="1295"/>
      <c r="EH670" s="1295" t="e">
        <f t="shared" si="6"/>
        <v>#VALUE!</v>
      </c>
      <c r="EI670" s="1295"/>
      <c r="EJ670" s="1295"/>
      <c r="EK670" s="1295"/>
      <c r="EL670" s="1295"/>
      <c r="EM670" s="1295" t="e">
        <f t="shared" si="7"/>
        <v>#VALUE!</v>
      </c>
      <c r="EN670" s="1295"/>
      <c r="EO670" s="1295"/>
      <c r="EP670" s="1295"/>
      <c r="EQ670" s="1295"/>
      <c r="ER670" s="1295" t="e">
        <f t="shared" si="8"/>
        <v>#VALUE!</v>
      </c>
      <c r="ES670" s="1295"/>
      <c r="ET670" s="1295"/>
      <c r="EU670" s="1295"/>
      <c r="EV670" s="1295"/>
      <c r="EW670" s="1295" t="e">
        <f t="shared" si="9"/>
        <v>#VALUE!</v>
      </c>
      <c r="EX670" s="1295"/>
      <c r="EY670" s="1295"/>
      <c r="EZ670" s="1295"/>
      <c r="FA670" s="1295"/>
    </row>
    <row r="671" spans="1:157" ht="12.95" customHeight="1">
      <c r="A671" s="22"/>
      <c r="B671" t="s">
        <v>315</v>
      </c>
      <c r="G671" s="1310">
        <v>4242228253</v>
      </c>
      <c r="H671" s="1310"/>
      <c r="I671" s="1310"/>
      <c r="J671" s="1310"/>
      <c r="K671" s="1310"/>
      <c r="L671" s="1310"/>
      <c r="O671" s="33" t="s">
        <v>205</v>
      </c>
      <c r="P671" s="1336"/>
      <c r="Q671" s="1336"/>
      <c r="R671" s="1336"/>
      <c r="T671" s="22"/>
      <c r="U671" t="s">
        <v>315</v>
      </c>
      <c r="Z671" s="1310">
        <v>4242228253</v>
      </c>
      <c r="AA671" s="1310"/>
      <c r="AB671" s="1310"/>
      <c r="AC671" s="1310"/>
      <c r="AD671" s="1310"/>
      <c r="AE671" s="1310"/>
      <c r="AH671" s="33" t="s">
        <v>205</v>
      </c>
      <c r="AI671" s="1336"/>
      <c r="AJ671" s="1336"/>
      <c r="AK671" s="133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5" t="e">
        <f t="shared" si="4"/>
        <v>#VALUE!</v>
      </c>
      <c r="DY671" s="1295"/>
      <c r="DZ671" s="1295"/>
      <c r="EA671" s="1295"/>
      <c r="EB671" s="1295"/>
      <c r="EC671" s="1295" t="e">
        <f t="shared" si="5"/>
        <v>#VALUE!</v>
      </c>
      <c r="ED671" s="1295"/>
      <c r="EE671" s="1295"/>
      <c r="EF671" s="1295"/>
      <c r="EG671" s="1295"/>
      <c r="EH671" s="1295" t="e">
        <f t="shared" si="6"/>
        <v>#VALUE!</v>
      </c>
      <c r="EI671" s="1295"/>
      <c r="EJ671" s="1295"/>
      <c r="EK671" s="1295"/>
      <c r="EL671" s="1295"/>
      <c r="EM671" s="1295" t="e">
        <f t="shared" si="7"/>
        <v>#VALUE!</v>
      </c>
      <c r="EN671" s="1295"/>
      <c r="EO671" s="1295"/>
      <c r="EP671" s="1295"/>
      <c r="EQ671" s="1295"/>
      <c r="ER671" s="1295" t="e">
        <f t="shared" si="8"/>
        <v>#VALUE!</v>
      </c>
      <c r="ES671" s="1295"/>
      <c r="ET671" s="1295"/>
      <c r="EU671" s="1295"/>
      <c r="EV671" s="1295"/>
      <c r="EW671" s="1295" t="e">
        <f t="shared" si="9"/>
        <v>#VALUE!</v>
      </c>
      <c r="EX671" s="1295"/>
      <c r="EY671" s="1295"/>
      <c r="EZ671" s="1295"/>
      <c r="FA671" s="1295"/>
    </row>
    <row r="672" spans="1:157" ht="12.95" customHeight="1">
      <c r="A672" s="22"/>
      <c r="B672" t="s">
        <v>18</v>
      </c>
      <c r="H672" s="1348" t="s">
        <v>2650</v>
      </c>
      <c r="I672" s="1348"/>
      <c r="J672" s="1348"/>
      <c r="K672" s="1348"/>
      <c r="L672" s="1348"/>
      <c r="M672" s="1348"/>
      <c r="N672" s="1348"/>
      <c r="O672" s="1348"/>
      <c r="P672" s="1348"/>
      <c r="Q672" s="1348"/>
      <c r="R672" s="1348"/>
      <c r="T672" s="22"/>
      <c r="U672" t="s">
        <v>18</v>
      </c>
      <c r="AA672" s="1435" t="s">
        <v>2650</v>
      </c>
      <c r="AB672" s="1348"/>
      <c r="AC672" s="1348"/>
      <c r="AD672" s="1348"/>
      <c r="AE672" s="1348"/>
      <c r="AF672" s="1348"/>
      <c r="AG672" s="1348"/>
      <c r="AH672" s="1348"/>
      <c r="AI672" s="1348"/>
      <c r="AJ672" s="1348"/>
      <c r="AK672" s="134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5" t="e">
        <f t="shared" si="4"/>
        <v>#VALUE!</v>
      </c>
      <c r="DY672" s="1295"/>
      <c r="DZ672" s="1295"/>
      <c r="EA672" s="1295"/>
      <c r="EB672" s="1295"/>
      <c r="EC672" s="1295" t="e">
        <f t="shared" si="5"/>
        <v>#VALUE!</v>
      </c>
      <c r="ED672" s="1295"/>
      <c r="EE672" s="1295"/>
      <c r="EF672" s="1295"/>
      <c r="EG672" s="1295"/>
      <c r="EH672" s="1295" t="e">
        <f t="shared" si="6"/>
        <v>#VALUE!</v>
      </c>
      <c r="EI672" s="1295"/>
      <c r="EJ672" s="1295"/>
      <c r="EK672" s="1295"/>
      <c r="EL672" s="1295"/>
      <c r="EM672" s="1295" t="e">
        <f t="shared" si="7"/>
        <v>#VALUE!</v>
      </c>
      <c r="EN672" s="1295"/>
      <c r="EO672" s="1295"/>
      <c r="EP672" s="1295"/>
      <c r="EQ672" s="1295"/>
      <c r="ER672" s="1295" t="e">
        <f t="shared" si="8"/>
        <v>#VALUE!</v>
      </c>
      <c r="ES672" s="1295"/>
      <c r="ET672" s="1295"/>
      <c r="EU672" s="1295"/>
      <c r="EV672" s="1295"/>
      <c r="EW672" s="1295" t="e">
        <f t="shared" si="9"/>
        <v>#VALUE!</v>
      </c>
      <c r="EX672" s="1295"/>
      <c r="EY672" s="1295"/>
      <c r="EZ672" s="1295"/>
      <c r="FA672" s="1295"/>
    </row>
    <row r="673" spans="1:157" ht="12.95" customHeight="1">
      <c r="A673" s="22"/>
      <c r="B673" t="s">
        <v>20</v>
      </c>
      <c r="N673" s="1306" t="s">
        <v>543</v>
      </c>
      <c r="O673" s="1306"/>
      <c r="T673" s="22"/>
      <c r="U673" t="s">
        <v>20</v>
      </c>
      <c r="AG673" s="1306" t="s">
        <v>543</v>
      </c>
      <c r="AH673" s="130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5" t="e">
        <f t="shared" si="4"/>
        <v>#VALUE!</v>
      </c>
      <c r="DY673" s="1295"/>
      <c r="DZ673" s="1295"/>
      <c r="EA673" s="1295"/>
      <c r="EB673" s="1295"/>
      <c r="EC673" s="1295" t="e">
        <f t="shared" si="5"/>
        <v>#VALUE!</v>
      </c>
      <c r="ED673" s="1295"/>
      <c r="EE673" s="1295"/>
      <c r="EF673" s="1295"/>
      <c r="EG673" s="1295"/>
      <c r="EH673" s="1295" t="e">
        <f t="shared" si="6"/>
        <v>#VALUE!</v>
      </c>
      <c r="EI673" s="1295"/>
      <c r="EJ673" s="1295"/>
      <c r="EK673" s="1295"/>
      <c r="EL673" s="1295"/>
      <c r="EM673" s="1295" t="e">
        <f t="shared" si="7"/>
        <v>#VALUE!</v>
      </c>
      <c r="EN673" s="1295"/>
      <c r="EO673" s="1295"/>
      <c r="EP673" s="1295"/>
      <c r="EQ673" s="1295"/>
      <c r="ER673" s="1295" t="e">
        <f t="shared" si="8"/>
        <v>#VALUE!</v>
      </c>
      <c r="ES673" s="1295"/>
      <c r="ET673" s="1295"/>
      <c r="EU673" s="1295"/>
      <c r="EV673" s="1295"/>
      <c r="EW673" s="1295" t="e">
        <f t="shared" si="9"/>
        <v>#VALUE!</v>
      </c>
      <c r="EX673" s="1295"/>
      <c r="EY673" s="1295"/>
      <c r="EZ673" s="1295"/>
      <c r="FA673" s="1295"/>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5" t="e">
        <f t="shared" si="4"/>
        <v>#VALUE!</v>
      </c>
      <c r="DY674" s="1295"/>
      <c r="DZ674" s="1295"/>
      <c r="EA674" s="1295"/>
      <c r="EB674" s="1295"/>
      <c r="EC674" s="1295" t="e">
        <f t="shared" si="5"/>
        <v>#VALUE!</v>
      </c>
      <c r="ED674" s="1295"/>
      <c r="EE674" s="1295"/>
      <c r="EF674" s="1295"/>
      <c r="EG674" s="1295"/>
      <c r="EH674" s="1295" t="e">
        <f t="shared" si="6"/>
        <v>#VALUE!</v>
      </c>
      <c r="EI674" s="1295"/>
      <c r="EJ674" s="1295"/>
      <c r="EK674" s="1295"/>
      <c r="EL674" s="1295"/>
      <c r="EM674" s="1295" t="e">
        <f t="shared" si="7"/>
        <v>#VALUE!</v>
      </c>
      <c r="EN674" s="1295"/>
      <c r="EO674" s="1295"/>
      <c r="EP674" s="1295"/>
      <c r="EQ674" s="1295"/>
      <c r="ER674" s="1295" t="e">
        <f t="shared" si="8"/>
        <v>#VALUE!</v>
      </c>
      <c r="ES674" s="1295"/>
      <c r="ET674" s="1295"/>
      <c r="EU674" s="1295"/>
      <c r="EV674" s="1295"/>
      <c r="EW674" s="1295" t="e">
        <f t="shared" si="9"/>
        <v>#VALUE!</v>
      </c>
      <c r="EX674" s="1295"/>
      <c r="EY674" s="1295"/>
      <c r="EZ674" s="1295"/>
      <c r="FA674" s="1295"/>
    </row>
    <row r="675" spans="1:157" ht="12.95" customHeight="1">
      <c r="A675" s="55" t="s">
        <v>453</v>
      </c>
      <c r="B675" t="s">
        <v>461</v>
      </c>
      <c r="G675" s="1296" t="str">
        <f>C641</f>
        <v>Deferred Developer Fee</v>
      </c>
      <c r="H675" s="1296"/>
      <c r="I675" s="1296"/>
      <c r="J675" s="1296"/>
      <c r="K675" s="1296"/>
      <c r="L675" s="1296"/>
      <c r="M675" s="1296"/>
      <c r="N675" s="1296"/>
      <c r="O675" s="1296"/>
      <c r="P675" s="1296"/>
      <c r="Q675" s="1296"/>
      <c r="R675" s="1296"/>
      <c r="T675" s="55" t="s">
        <v>454</v>
      </c>
      <c r="U675" t="s">
        <v>461</v>
      </c>
      <c r="Z675" s="1296">
        <f>C642</f>
        <v>0</v>
      </c>
      <c r="AA675" s="1296"/>
      <c r="AB675" s="1296"/>
      <c r="AC675" s="1296"/>
      <c r="AD675" s="1296"/>
      <c r="AE675" s="1296"/>
      <c r="AF675" s="1296"/>
      <c r="AG675" s="1296"/>
      <c r="AH675" s="1296"/>
      <c r="AI675" s="1296"/>
      <c r="AJ675" s="1296"/>
      <c r="AK675" s="129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5" t="e">
        <f t="shared" si="4"/>
        <v>#VALUE!</v>
      </c>
      <c r="DY675" s="1295"/>
      <c r="DZ675" s="1295"/>
      <c r="EA675" s="1295"/>
      <c r="EB675" s="1295"/>
      <c r="EC675" s="1295" t="e">
        <f t="shared" si="5"/>
        <v>#VALUE!</v>
      </c>
      <c r="ED675" s="1295"/>
      <c r="EE675" s="1295"/>
      <c r="EF675" s="1295"/>
      <c r="EG675" s="1295"/>
      <c r="EH675" s="1295" t="e">
        <f t="shared" si="6"/>
        <v>#VALUE!</v>
      </c>
      <c r="EI675" s="1295"/>
      <c r="EJ675" s="1295"/>
      <c r="EK675" s="1295"/>
      <c r="EL675" s="1295"/>
      <c r="EM675" s="1295" t="e">
        <f t="shared" si="7"/>
        <v>#VALUE!</v>
      </c>
      <c r="EN675" s="1295"/>
      <c r="EO675" s="1295"/>
      <c r="EP675" s="1295"/>
      <c r="EQ675" s="1295"/>
      <c r="ER675" s="1295" t="e">
        <f t="shared" si="8"/>
        <v>#VALUE!</v>
      </c>
      <c r="ES675" s="1295"/>
      <c r="ET675" s="1295"/>
      <c r="EU675" s="1295"/>
      <c r="EV675" s="1295"/>
      <c r="EW675" s="1295" t="e">
        <f t="shared" si="9"/>
        <v>#VALUE!</v>
      </c>
      <c r="EX675" s="1295"/>
      <c r="EY675" s="1295"/>
      <c r="EZ675" s="1295"/>
      <c r="FA675" s="1295"/>
    </row>
    <row r="676" spans="1:157" ht="12.95" customHeight="1">
      <c r="A676" s="22"/>
      <c r="B676" t="s">
        <v>85</v>
      </c>
      <c r="G676" s="1348" t="s">
        <v>2726</v>
      </c>
      <c r="H676" s="1348"/>
      <c r="I676" s="1348"/>
      <c r="J676" s="1348"/>
      <c r="K676" s="1348"/>
      <c r="L676" s="1348"/>
      <c r="M676" s="1348"/>
      <c r="N676" s="1348"/>
      <c r="O676" s="1348"/>
      <c r="P676" s="1348"/>
      <c r="Q676" s="1348"/>
      <c r="R676" s="1348"/>
      <c r="T676" s="22"/>
      <c r="U676" t="s">
        <v>85</v>
      </c>
      <c r="Z676" s="1348"/>
      <c r="AA676" s="1348"/>
      <c r="AB676" s="1348"/>
      <c r="AC676" s="1348"/>
      <c r="AD676" s="1348"/>
      <c r="AE676" s="1348"/>
      <c r="AF676" s="1348"/>
      <c r="AG676" s="1348"/>
      <c r="AH676" s="1348"/>
      <c r="AI676" s="1348"/>
      <c r="AJ676" s="1348"/>
      <c r="AK676" s="134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5" t="e">
        <f t="shared" si="4"/>
        <v>#VALUE!</v>
      </c>
      <c r="DY676" s="1295"/>
      <c r="DZ676" s="1295"/>
      <c r="EA676" s="1295"/>
      <c r="EB676" s="1295"/>
      <c r="EC676" s="1295" t="e">
        <f t="shared" si="5"/>
        <v>#VALUE!</v>
      </c>
      <c r="ED676" s="1295"/>
      <c r="EE676" s="1295"/>
      <c r="EF676" s="1295"/>
      <c r="EG676" s="1295"/>
      <c r="EH676" s="1295" t="e">
        <f t="shared" si="6"/>
        <v>#VALUE!</v>
      </c>
      <c r="EI676" s="1295"/>
      <c r="EJ676" s="1295"/>
      <c r="EK676" s="1295"/>
      <c r="EL676" s="1295"/>
      <c r="EM676" s="1295" t="e">
        <f t="shared" si="7"/>
        <v>#VALUE!</v>
      </c>
      <c r="EN676" s="1295"/>
      <c r="EO676" s="1295"/>
      <c r="EP676" s="1295"/>
      <c r="EQ676" s="1295"/>
      <c r="ER676" s="1295" t="e">
        <f t="shared" si="8"/>
        <v>#VALUE!</v>
      </c>
      <c r="ES676" s="1295"/>
      <c r="ET676" s="1295"/>
      <c r="EU676" s="1295"/>
      <c r="EV676" s="1295"/>
      <c r="EW676" s="1295" t="e">
        <f t="shared" si="9"/>
        <v>#VALUE!</v>
      </c>
      <c r="EX676" s="1295"/>
      <c r="EY676" s="1295"/>
      <c r="EZ676" s="1295"/>
      <c r="FA676" s="1295"/>
    </row>
    <row r="677" spans="1:157" ht="12.95" customHeight="1">
      <c r="A677" s="22"/>
      <c r="B677" t="s">
        <v>578</v>
      </c>
      <c r="G677" s="1348" t="s">
        <v>2672</v>
      </c>
      <c r="H677" s="1348"/>
      <c r="I677" s="1348"/>
      <c r="J677" s="1348"/>
      <c r="K677" s="1348"/>
      <c r="L677" s="1348"/>
      <c r="M677" s="1348"/>
      <c r="N677" s="1348"/>
      <c r="O677" s="1348"/>
      <c r="P677" s="1348"/>
      <c r="Q677" s="1348"/>
      <c r="R677" s="1348"/>
      <c r="T677" s="22"/>
      <c r="U677" t="s">
        <v>578</v>
      </c>
      <c r="Z677" s="1335"/>
      <c r="AA677" s="1335"/>
      <c r="AB677" s="1335"/>
      <c r="AC677" s="1335"/>
      <c r="AD677" s="1335"/>
      <c r="AE677" s="1335"/>
      <c r="AF677" s="1335"/>
      <c r="AG677" s="1335"/>
      <c r="AH677" s="1335"/>
      <c r="AI677" s="1335"/>
      <c r="AJ677" s="1335"/>
      <c r="AK677" s="133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5" t="e">
        <f t="shared" si="4"/>
        <v>#VALUE!</v>
      </c>
      <c r="DY677" s="1295"/>
      <c r="DZ677" s="1295"/>
      <c r="EA677" s="1295"/>
      <c r="EB677" s="1295"/>
      <c r="EC677" s="1295" t="e">
        <f t="shared" si="5"/>
        <v>#VALUE!</v>
      </c>
      <c r="ED677" s="1295"/>
      <c r="EE677" s="1295"/>
      <c r="EF677" s="1295"/>
      <c r="EG677" s="1295"/>
      <c r="EH677" s="1295" t="e">
        <f t="shared" si="6"/>
        <v>#VALUE!</v>
      </c>
      <c r="EI677" s="1295"/>
      <c r="EJ677" s="1295"/>
      <c r="EK677" s="1295"/>
      <c r="EL677" s="1295"/>
      <c r="EM677" s="1295" t="e">
        <f t="shared" si="7"/>
        <v>#VALUE!</v>
      </c>
      <c r="EN677" s="1295"/>
      <c r="EO677" s="1295"/>
      <c r="EP677" s="1295"/>
      <c r="EQ677" s="1295"/>
      <c r="ER677" s="1295" t="e">
        <f t="shared" si="8"/>
        <v>#VALUE!</v>
      </c>
      <c r="ES677" s="1295"/>
      <c r="ET677" s="1295"/>
      <c r="EU677" s="1295"/>
      <c r="EV677" s="1295"/>
      <c r="EW677" s="1295" t="e">
        <f t="shared" si="9"/>
        <v>#VALUE!</v>
      </c>
      <c r="EX677" s="1295"/>
      <c r="EY677" s="1295"/>
      <c r="EZ677" s="1295"/>
      <c r="FA677" s="1295"/>
    </row>
    <row r="678" spans="1:157" ht="12.95" customHeight="1">
      <c r="A678" s="22"/>
      <c r="B678" t="s">
        <v>17</v>
      </c>
      <c r="G678" s="1348" t="s">
        <v>2669</v>
      </c>
      <c r="H678" s="1348"/>
      <c r="I678" s="1348"/>
      <c r="J678" s="1348"/>
      <c r="K678" s="1348"/>
      <c r="L678" s="1348"/>
      <c r="M678" s="1348"/>
      <c r="N678" s="1348"/>
      <c r="O678" s="1348"/>
      <c r="P678" s="1348"/>
      <c r="Q678" s="1348"/>
      <c r="R678" s="1348"/>
      <c r="T678" s="22"/>
      <c r="U678" t="s">
        <v>17</v>
      </c>
      <c r="Z678" s="1335"/>
      <c r="AA678" s="1335"/>
      <c r="AB678" s="1335"/>
      <c r="AC678" s="1335"/>
      <c r="AD678" s="1335"/>
      <c r="AE678" s="1335"/>
      <c r="AF678" s="1335"/>
      <c r="AG678" s="1335"/>
      <c r="AH678" s="1335"/>
      <c r="AI678" s="1335"/>
      <c r="AJ678" s="1335"/>
      <c r="AK678" s="133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5">
        <f>SUMIF(DX643:EB677,"&gt;0")</f>
        <v>0</v>
      </c>
      <c r="DY678" s="1295"/>
      <c r="DZ678" s="1295"/>
      <c r="EA678" s="1295"/>
      <c r="EB678" s="1295"/>
      <c r="EC678" s="1295">
        <f>SUMIF(EC643:EG677,"&gt;0")</f>
        <v>893.66666666666674</v>
      </c>
      <c r="ED678" s="1295"/>
      <c r="EE678" s="1295"/>
      <c r="EF678" s="1295"/>
      <c r="EG678" s="1295"/>
      <c r="EH678" s="1295">
        <f>SUMIF(EH643:EL677,"&gt;0")</f>
        <v>1456.8072289156628</v>
      </c>
      <c r="EI678" s="1295"/>
      <c r="EJ678" s="1295"/>
      <c r="EK678" s="1295"/>
      <c r="EL678" s="1295"/>
      <c r="EM678" s="1295">
        <f>SUMIF(EM643:EQ677,"&gt;0")</f>
        <v>1706.9024390243899</v>
      </c>
      <c r="EN678" s="1295"/>
      <c r="EO678" s="1295"/>
      <c r="EP678" s="1295"/>
      <c r="EQ678" s="1295"/>
      <c r="ER678" s="1295">
        <f>SUMIF(ER643:EV677,"&gt;0")</f>
        <v>1963.7777777777778</v>
      </c>
      <c r="ES678" s="1295"/>
      <c r="ET678" s="1295"/>
      <c r="EU678" s="1295"/>
      <c r="EV678" s="1295"/>
      <c r="EW678" s="1295">
        <f>SUMIF(EW643:FA677,"&gt;0")</f>
        <v>0</v>
      </c>
      <c r="EX678" s="1295"/>
      <c r="EY678" s="1295"/>
      <c r="EZ678" s="1295"/>
      <c r="FA678" s="1295"/>
    </row>
    <row r="679" spans="1:157" ht="12.95" customHeight="1">
      <c r="A679" s="22"/>
      <c r="B679" t="s">
        <v>315</v>
      </c>
      <c r="G679" s="1310">
        <v>4242228253</v>
      </c>
      <c r="H679" s="1310"/>
      <c r="I679" s="1310"/>
      <c r="J679" s="1310"/>
      <c r="K679" s="1310"/>
      <c r="L679" s="1310"/>
      <c r="O679" s="33" t="s">
        <v>205</v>
      </c>
      <c r="P679" s="1336"/>
      <c r="Q679" s="1336"/>
      <c r="R679" s="1336"/>
      <c r="T679" s="22"/>
      <c r="U679" t="s">
        <v>315</v>
      </c>
      <c r="Z679" s="1310"/>
      <c r="AA679" s="1310"/>
      <c r="AB679" s="1310"/>
      <c r="AC679" s="1310"/>
      <c r="AD679" s="1310"/>
      <c r="AE679" s="1310"/>
      <c r="AH679" s="33" t="s">
        <v>205</v>
      </c>
      <c r="AI679" s="1336"/>
      <c r="AJ679" s="1336"/>
      <c r="AK679" s="133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48" t="s">
        <v>2259</v>
      </c>
      <c r="I680" s="1348"/>
      <c r="J680" s="1348"/>
      <c r="K680" s="1348"/>
      <c r="L680" s="1348"/>
      <c r="M680" s="1348"/>
      <c r="N680" s="1348"/>
      <c r="O680" s="1348"/>
      <c r="P680" s="1348"/>
      <c r="Q680" s="1348"/>
      <c r="R680" s="1348"/>
      <c r="T680" s="22"/>
      <c r="U680" t="s">
        <v>18</v>
      </c>
      <c r="AA680" s="1435"/>
      <c r="AB680" s="1348"/>
      <c r="AC680" s="1348"/>
      <c r="AD680" s="1348"/>
      <c r="AE680" s="1348"/>
      <c r="AF680" s="1348"/>
      <c r="AG680" s="1348"/>
      <c r="AH680" s="1348"/>
      <c r="AI680" s="1348"/>
      <c r="AJ680" s="1348"/>
      <c r="AK680" s="134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06" t="s">
        <v>543</v>
      </c>
      <c r="O681" s="1306"/>
      <c r="T681" s="22"/>
      <c r="U681" t="s">
        <v>20</v>
      </c>
      <c r="AG681" s="1306" t="s">
        <v>667</v>
      </c>
      <c r="AH681" s="1306"/>
      <c r="AZ681" s="3"/>
    </row>
    <row r="682" spans="1:157" ht="12.95" customHeight="1">
      <c r="A682" s="22"/>
      <c r="T682" s="22"/>
      <c r="AZ682" s="3"/>
    </row>
    <row r="683" spans="1:157" ht="12.95" customHeight="1">
      <c r="A683" s="55" t="s">
        <v>459</v>
      </c>
      <c r="B683" t="s">
        <v>461</v>
      </c>
      <c r="G683" s="1296">
        <f>C643</f>
        <v>0</v>
      </c>
      <c r="H683" s="1296"/>
      <c r="I683" s="1296"/>
      <c r="J683" s="1296"/>
      <c r="K683" s="1296"/>
      <c r="L683" s="1296"/>
      <c r="M683" s="1296"/>
      <c r="N683" s="1296"/>
      <c r="O683" s="1296"/>
      <c r="P683" s="1296"/>
      <c r="Q683" s="1296"/>
      <c r="R683" s="1296"/>
      <c r="T683" s="55" t="s">
        <v>644</v>
      </c>
      <c r="U683" t="s">
        <v>461</v>
      </c>
      <c r="Z683" s="1296">
        <f>C644</f>
        <v>0</v>
      </c>
      <c r="AA683" s="1296"/>
      <c r="AB683" s="1296"/>
      <c r="AC683" s="1296"/>
      <c r="AD683" s="1296"/>
      <c r="AE683" s="1296"/>
      <c r="AF683" s="1296"/>
      <c r="AG683" s="1296"/>
      <c r="AH683" s="1296"/>
      <c r="AI683" s="1296"/>
      <c r="AJ683" s="1296"/>
      <c r="AK683" s="1296"/>
      <c r="AZ683" s="3"/>
    </row>
    <row r="684" spans="1:157" ht="12.95" customHeight="1">
      <c r="A684" s="22"/>
      <c r="B684" t="s">
        <v>85</v>
      </c>
      <c r="G684" s="1348"/>
      <c r="H684" s="1348"/>
      <c r="I684" s="1348"/>
      <c r="J684" s="1348"/>
      <c r="K684" s="1348"/>
      <c r="L684" s="1348"/>
      <c r="M684" s="1348"/>
      <c r="N684" s="1348"/>
      <c r="O684" s="1348"/>
      <c r="P684" s="1348"/>
      <c r="Q684" s="1348"/>
      <c r="R684" s="1348"/>
      <c r="T684" s="22"/>
      <c r="U684" t="s">
        <v>85</v>
      </c>
      <c r="Z684" s="1348"/>
      <c r="AA684" s="1348"/>
      <c r="AB684" s="1348"/>
      <c r="AC684" s="1348"/>
      <c r="AD684" s="1348"/>
      <c r="AE684" s="1348"/>
      <c r="AF684" s="1348"/>
      <c r="AG684" s="1348"/>
      <c r="AH684" s="1348"/>
      <c r="AI684" s="1348"/>
      <c r="AJ684" s="1348"/>
      <c r="AK684" s="1348"/>
      <c r="AZ684" s="3"/>
    </row>
    <row r="685" spans="1:157" ht="12.95" customHeight="1">
      <c r="A685" s="22"/>
      <c r="B685" t="s">
        <v>578</v>
      </c>
      <c r="G685" s="1348"/>
      <c r="H685" s="1348"/>
      <c r="I685" s="1348"/>
      <c r="J685" s="1348"/>
      <c r="K685" s="1348"/>
      <c r="L685" s="1348"/>
      <c r="M685" s="1348"/>
      <c r="N685" s="1348"/>
      <c r="O685" s="1348"/>
      <c r="P685" s="1348"/>
      <c r="Q685" s="1348"/>
      <c r="R685" s="1348"/>
      <c r="T685" s="22"/>
      <c r="U685" t="s">
        <v>578</v>
      </c>
      <c r="Z685" s="1335"/>
      <c r="AA685" s="1335"/>
      <c r="AB685" s="1335"/>
      <c r="AC685" s="1335"/>
      <c r="AD685" s="1335"/>
      <c r="AE685" s="1335"/>
      <c r="AF685" s="1335"/>
      <c r="AG685" s="1335"/>
      <c r="AH685" s="1335"/>
      <c r="AI685" s="1335"/>
      <c r="AJ685" s="1335"/>
      <c r="AK685" s="1335"/>
      <c r="AZ685" s="3"/>
    </row>
    <row r="686" spans="1:157" ht="12.95" customHeight="1">
      <c r="A686" s="22"/>
      <c r="B686" t="s">
        <v>17</v>
      </c>
      <c r="G686" s="1348"/>
      <c r="H686" s="1348"/>
      <c r="I686" s="1348"/>
      <c r="J686" s="1348"/>
      <c r="K686" s="1348"/>
      <c r="L686" s="1348"/>
      <c r="M686" s="1348"/>
      <c r="N686" s="1348"/>
      <c r="O686" s="1348"/>
      <c r="P686" s="1348"/>
      <c r="Q686" s="1348"/>
      <c r="R686" s="1348"/>
      <c r="T686" s="22"/>
      <c r="U686" t="s">
        <v>17</v>
      </c>
      <c r="Z686" s="1335"/>
      <c r="AA686" s="1335"/>
      <c r="AB686" s="1335"/>
      <c r="AC686" s="1335"/>
      <c r="AD686" s="1335"/>
      <c r="AE686" s="1335"/>
      <c r="AF686" s="1335"/>
      <c r="AG686" s="1335"/>
      <c r="AH686" s="1335"/>
      <c r="AI686" s="1335"/>
      <c r="AJ686" s="1335"/>
      <c r="AK686" s="1335"/>
      <c r="AZ686" s="3"/>
    </row>
    <row r="687" spans="1:157" ht="12.95" customHeight="1">
      <c r="A687" s="22"/>
      <c r="B687" t="s">
        <v>315</v>
      </c>
      <c r="G687" s="1310"/>
      <c r="H687" s="1310"/>
      <c r="I687" s="1310"/>
      <c r="J687" s="1310"/>
      <c r="K687" s="1310"/>
      <c r="L687" s="1310"/>
      <c r="O687" s="33" t="s">
        <v>205</v>
      </c>
      <c r="P687" s="1336"/>
      <c r="Q687" s="1336"/>
      <c r="R687" s="1336"/>
      <c r="T687" s="22"/>
      <c r="U687" t="s">
        <v>315</v>
      </c>
      <c r="Z687" s="1310"/>
      <c r="AA687" s="1310"/>
      <c r="AB687" s="1310"/>
      <c r="AC687" s="1310"/>
      <c r="AD687" s="1310"/>
      <c r="AE687" s="1310"/>
      <c r="AH687" s="33" t="s">
        <v>205</v>
      </c>
      <c r="AI687" s="1336"/>
      <c r="AJ687" s="1336"/>
      <c r="AK687" s="1336"/>
      <c r="AZ687" s="3"/>
    </row>
    <row r="688" spans="1:157" ht="12.95" customHeight="1">
      <c r="A688" s="22"/>
      <c r="B688" t="s">
        <v>18</v>
      </c>
      <c r="H688" s="1348"/>
      <c r="I688" s="1348"/>
      <c r="J688" s="1348"/>
      <c r="K688" s="1348"/>
      <c r="L688" s="1348"/>
      <c r="M688" s="1348"/>
      <c r="N688" s="1348"/>
      <c r="O688" s="1348"/>
      <c r="P688" s="1348"/>
      <c r="Q688" s="1348"/>
      <c r="R688" s="1348"/>
      <c r="T688" s="22"/>
      <c r="U688" t="s">
        <v>18</v>
      </c>
      <c r="AA688" s="1348"/>
      <c r="AB688" s="1348"/>
      <c r="AC688" s="1348"/>
      <c r="AD688" s="1348"/>
      <c r="AE688" s="1348"/>
      <c r="AF688" s="1348"/>
      <c r="AG688" s="1348"/>
      <c r="AH688" s="1348"/>
      <c r="AI688" s="1348"/>
      <c r="AJ688" s="1348"/>
      <c r="AK688" s="1348"/>
      <c r="AZ688" s="3"/>
    </row>
    <row r="689" spans="1:52" ht="12.95" customHeight="1">
      <c r="A689" s="22"/>
      <c r="B689" t="s">
        <v>20</v>
      </c>
      <c r="N689" s="1306" t="s">
        <v>667</v>
      </c>
      <c r="O689" s="1306"/>
      <c r="T689" s="22"/>
      <c r="U689" t="s">
        <v>20</v>
      </c>
      <c r="AG689" s="1306" t="s">
        <v>667</v>
      </c>
      <c r="AH689" s="1306"/>
      <c r="AZ689" s="3"/>
    </row>
    <row r="690" spans="1:52" ht="12.95" customHeight="1">
      <c r="A690" s="22"/>
      <c r="T690" s="22"/>
      <c r="AZ690" s="3"/>
    </row>
    <row r="691" spans="1:52" ht="12.95" customHeight="1">
      <c r="A691" s="55" t="s">
        <v>360</v>
      </c>
      <c r="B691" t="s">
        <v>461</v>
      </c>
      <c r="G691" s="1296">
        <f>C645</f>
        <v>0</v>
      </c>
      <c r="H691" s="1296"/>
      <c r="I691" s="1296"/>
      <c r="J691" s="1296"/>
      <c r="K691" s="1296"/>
      <c r="L691" s="1296"/>
      <c r="M691" s="1296"/>
      <c r="N691" s="1296"/>
      <c r="O691" s="1296"/>
      <c r="P691" s="1296"/>
      <c r="Q691" s="1296"/>
      <c r="R691" s="1296"/>
      <c r="T691" s="55" t="s">
        <v>361</v>
      </c>
      <c r="U691" t="s">
        <v>461</v>
      </c>
      <c r="Z691" s="1296">
        <f>C646</f>
        <v>0</v>
      </c>
      <c r="AA691" s="1296"/>
      <c r="AB691" s="1296"/>
      <c r="AC691" s="1296"/>
      <c r="AD691" s="1296"/>
      <c r="AE691" s="1296"/>
      <c r="AF691" s="1296"/>
      <c r="AG691" s="1296"/>
      <c r="AH691" s="1296"/>
      <c r="AI691" s="1296"/>
      <c r="AJ691" s="1296"/>
      <c r="AK691" s="1296"/>
      <c r="AZ691" s="3"/>
    </row>
    <row r="692" spans="1:52" ht="12.95" customHeight="1">
      <c r="B692" t="s">
        <v>85</v>
      </c>
      <c r="G692" s="1348"/>
      <c r="H692" s="1348"/>
      <c r="I692" s="1348"/>
      <c r="J692" s="1348"/>
      <c r="K692" s="1348"/>
      <c r="L692" s="1348"/>
      <c r="M692" s="1348"/>
      <c r="N692" s="1348"/>
      <c r="O692" s="1348"/>
      <c r="P692" s="1348"/>
      <c r="Q692" s="1348"/>
      <c r="R692" s="1348"/>
      <c r="T692" s="22"/>
      <c r="U692" t="s">
        <v>85</v>
      </c>
      <c r="Z692" s="1348"/>
      <c r="AA692" s="1348"/>
      <c r="AB692" s="1348"/>
      <c r="AC692" s="1348"/>
      <c r="AD692" s="1348"/>
      <c r="AE692" s="1348"/>
      <c r="AF692" s="1348"/>
      <c r="AG692" s="1348"/>
      <c r="AH692" s="1348"/>
      <c r="AI692" s="1348"/>
      <c r="AJ692" s="1348"/>
      <c r="AK692" s="1348"/>
      <c r="AZ692" s="3"/>
    </row>
    <row r="693" spans="1:52" ht="12.95" customHeight="1">
      <c r="B693" t="s">
        <v>578</v>
      </c>
      <c r="G693" s="1348"/>
      <c r="H693" s="1348"/>
      <c r="I693" s="1348"/>
      <c r="J693" s="1348"/>
      <c r="K693" s="1348"/>
      <c r="L693" s="1348"/>
      <c r="M693" s="1348"/>
      <c r="N693" s="1348"/>
      <c r="O693" s="1348"/>
      <c r="P693" s="1348"/>
      <c r="Q693" s="1348"/>
      <c r="R693" s="1348"/>
      <c r="U693" t="s">
        <v>578</v>
      </c>
      <c r="Z693" s="1335"/>
      <c r="AA693" s="1335"/>
      <c r="AB693" s="1335"/>
      <c r="AC693" s="1335"/>
      <c r="AD693" s="1335"/>
      <c r="AE693" s="1335"/>
      <c r="AF693" s="1335"/>
      <c r="AG693" s="1335"/>
      <c r="AH693" s="1335"/>
      <c r="AI693" s="1335"/>
      <c r="AJ693" s="1335"/>
      <c r="AK693" s="1335"/>
      <c r="AZ693" s="3"/>
    </row>
    <row r="694" spans="1:52" ht="12.95" customHeight="1">
      <c r="B694" t="s">
        <v>17</v>
      </c>
      <c r="G694" s="1348"/>
      <c r="H694" s="1348"/>
      <c r="I694" s="1348"/>
      <c r="J694" s="1348"/>
      <c r="K694" s="1348"/>
      <c r="L694" s="1348"/>
      <c r="M694" s="1348"/>
      <c r="N694" s="1348"/>
      <c r="O694" s="1348"/>
      <c r="P694" s="1348"/>
      <c r="Q694" s="1348"/>
      <c r="R694" s="1348"/>
      <c r="U694" t="s">
        <v>17</v>
      </c>
      <c r="Z694" s="1335"/>
      <c r="AA694" s="1335"/>
      <c r="AB694" s="1335"/>
      <c r="AC694" s="1335"/>
      <c r="AD694" s="1335"/>
      <c r="AE694" s="1335"/>
      <c r="AF694" s="1335"/>
      <c r="AG694" s="1335"/>
      <c r="AH694" s="1335"/>
      <c r="AI694" s="1335"/>
      <c r="AJ694" s="1335"/>
      <c r="AK694" s="1335"/>
      <c r="AZ694" s="3"/>
    </row>
    <row r="695" spans="1:52" ht="12.95" customHeight="1">
      <c r="B695" t="s">
        <v>315</v>
      </c>
      <c r="G695" s="1310"/>
      <c r="H695" s="1310"/>
      <c r="I695" s="1310"/>
      <c r="J695" s="1310"/>
      <c r="K695" s="1310"/>
      <c r="L695" s="1310"/>
      <c r="O695" s="33" t="s">
        <v>205</v>
      </c>
      <c r="P695" s="1336"/>
      <c r="Q695" s="1336"/>
      <c r="R695" s="1336"/>
      <c r="U695" t="s">
        <v>315</v>
      </c>
      <c r="Z695" s="1310"/>
      <c r="AA695" s="1310"/>
      <c r="AB695" s="1310"/>
      <c r="AC695" s="1310"/>
      <c r="AD695" s="1310"/>
      <c r="AE695" s="1310"/>
      <c r="AH695" s="33" t="s">
        <v>205</v>
      </c>
      <c r="AI695" s="1336"/>
      <c r="AJ695" s="1336"/>
      <c r="AK695" s="1336"/>
      <c r="AZ695" s="3"/>
    </row>
    <row r="696" spans="1:52" ht="12.95" customHeight="1">
      <c r="B696" t="s">
        <v>18</v>
      </c>
      <c r="H696" s="1348"/>
      <c r="I696" s="1348"/>
      <c r="J696" s="1348"/>
      <c r="K696" s="1348"/>
      <c r="L696" s="1348"/>
      <c r="M696" s="1348"/>
      <c r="N696" s="1348"/>
      <c r="O696" s="1348"/>
      <c r="P696" s="1348"/>
      <c r="Q696" s="1348"/>
      <c r="R696" s="1348"/>
      <c r="U696" t="s">
        <v>18</v>
      </c>
      <c r="AA696" s="1348"/>
      <c r="AB696" s="1348"/>
      <c r="AC696" s="1348"/>
      <c r="AD696" s="1348"/>
      <c r="AE696" s="1348"/>
      <c r="AF696" s="1348"/>
      <c r="AG696" s="1348"/>
      <c r="AH696" s="1348"/>
      <c r="AI696" s="1348"/>
      <c r="AJ696" s="1348"/>
      <c r="AK696" s="1348"/>
      <c r="AZ696" s="3"/>
    </row>
    <row r="697" spans="1:52" ht="12.95" customHeight="1">
      <c r="B697" t="s">
        <v>20</v>
      </c>
      <c r="N697" s="1306" t="s">
        <v>667</v>
      </c>
      <c r="O697" s="1306"/>
      <c r="U697" t="s">
        <v>20</v>
      </c>
      <c r="AG697" s="1306" t="s">
        <v>667</v>
      </c>
      <c r="AH697" s="1306"/>
      <c r="AZ697" s="3"/>
    </row>
    <row r="698" spans="1:52" ht="12.95" customHeight="1">
      <c r="AZ698" s="3"/>
    </row>
    <row r="699" spans="1:52" ht="12.95" customHeight="1">
      <c r="A699" s="2" t="s">
        <v>574</v>
      </c>
      <c r="C699" s="2" t="s">
        <v>326</v>
      </c>
      <c r="E699" s="130"/>
      <c r="F699" s="130"/>
      <c r="G699" s="130"/>
      <c r="H699" s="130"/>
      <c r="AZ699" s="3"/>
    </row>
    <row r="700" spans="1:52" ht="12.95" customHeight="1">
      <c r="B700" s="135"/>
      <c r="C700" s="135"/>
      <c r="D700" s="1030" t="s">
        <v>2604</v>
      </c>
      <c r="E700" s="135"/>
      <c r="F700" s="135"/>
      <c r="G700" s="135"/>
      <c r="H700" s="135"/>
      <c r="AZ700" s="3"/>
    </row>
    <row r="701" spans="1:52" ht="12.95" customHeight="1">
      <c r="B701" s="135"/>
      <c r="C701" s="135"/>
      <c r="E701" s="136" t="s">
        <v>432</v>
      </c>
      <c r="F701" s="135"/>
      <c r="G701" s="135"/>
      <c r="H701" s="135"/>
      <c r="AE701" s="1306" t="s">
        <v>543</v>
      </c>
      <c r="AF701" s="1306"/>
      <c r="AZ701" s="3"/>
    </row>
    <row r="702" spans="1:52" ht="12.95" customHeight="1">
      <c r="B702" s="135"/>
      <c r="C702" s="135"/>
      <c r="D702" s="136" t="s">
        <v>435</v>
      </c>
      <c r="E702" s="135"/>
      <c r="F702" s="135"/>
      <c r="G702" s="135"/>
      <c r="H702" s="135"/>
      <c r="AE702" s="1306" t="s">
        <v>543</v>
      </c>
      <c r="AF702" s="1306"/>
      <c r="AZ702" s="3"/>
    </row>
    <row r="703" spans="1:52" ht="12.95" customHeight="1">
      <c r="B703" s="135"/>
      <c r="C703" s="135"/>
      <c r="D703" s="136" t="s">
        <v>918</v>
      </c>
      <c r="E703" s="135"/>
      <c r="F703" s="135"/>
      <c r="G703" s="135"/>
      <c r="H703" s="135"/>
      <c r="AE703" s="1463">
        <v>46161</v>
      </c>
      <c r="AF703" s="1463"/>
      <c r="AG703" s="1463"/>
      <c r="AH703" s="1463"/>
      <c r="AI703" s="1463"/>
    </row>
    <row r="704" spans="1:52" ht="12.95" customHeight="1">
      <c r="B704" s="135"/>
      <c r="C704" s="135"/>
      <c r="D704" s="317" t="s">
        <v>981</v>
      </c>
      <c r="E704" s="135"/>
      <c r="F704" s="135"/>
      <c r="G704" s="135"/>
      <c r="H704" s="135"/>
      <c r="AE704" s="1523">
        <v>46252</v>
      </c>
      <c r="AF704" s="1523"/>
      <c r="AG704" s="1523"/>
      <c r="AH704" s="1523"/>
      <c r="AI704" s="1523"/>
    </row>
    <row r="705" spans="1:110" ht="12.95" customHeight="1">
      <c r="B705" s="135"/>
      <c r="C705" s="135"/>
    </row>
    <row r="706" spans="1:110" ht="12.95" customHeight="1">
      <c r="B706" s="135"/>
      <c r="C706" s="135"/>
      <c r="D706" s="136" t="s">
        <v>814</v>
      </c>
      <c r="E706" s="135"/>
      <c r="F706" s="135"/>
      <c r="G706" s="135"/>
      <c r="H706" s="135"/>
      <c r="AE706" s="1463">
        <v>46419</v>
      </c>
      <c r="AF706" s="1463"/>
      <c r="AG706" s="1463"/>
      <c r="AH706" s="1463"/>
      <c r="AI706" s="1463"/>
    </row>
    <row r="707" spans="1:110" ht="12.95" customHeight="1">
      <c r="B707" s="135"/>
      <c r="C707" s="135"/>
      <c r="D707" s="136" t="s">
        <v>433</v>
      </c>
      <c r="E707" s="135"/>
      <c r="F707" s="135"/>
      <c r="G707" s="135"/>
      <c r="H707" s="135"/>
      <c r="AE707" s="1778">
        <v>0.27560000000000001</v>
      </c>
      <c r="AF707" s="1778"/>
      <c r="AG707" s="1778"/>
      <c r="AH707" s="1778"/>
      <c r="AI707" s="1778"/>
    </row>
    <row r="708" spans="1:110" ht="12.95" customHeight="1">
      <c r="B708" s="135"/>
      <c r="C708" s="135"/>
      <c r="D708" s="136" t="s">
        <v>434</v>
      </c>
      <c r="E708" s="135"/>
      <c r="F708" s="135"/>
      <c r="G708" s="135"/>
      <c r="H708" s="135"/>
      <c r="W708" s="1296" t="str">
        <f>H344</f>
        <v>California Housing Finance Agency</v>
      </c>
      <c r="X708" s="1296"/>
      <c r="Y708" s="1296"/>
      <c r="Z708" s="1296"/>
      <c r="AA708" s="1296"/>
      <c r="AB708" s="1296"/>
      <c r="AC708" s="1296"/>
      <c r="AD708" s="1296"/>
      <c r="AE708" s="1296"/>
      <c r="AF708" s="1296"/>
      <c r="AG708" s="1296"/>
      <c r="AH708" s="1296"/>
      <c r="AI708" s="1296"/>
      <c r="AJ708" s="1296"/>
      <c r="AK708" s="1296"/>
    </row>
    <row r="709" spans="1:110" ht="12.95" customHeight="1">
      <c r="B709" s="135"/>
      <c r="C709" s="135"/>
      <c r="D709" s="136"/>
      <c r="E709" s="135"/>
      <c r="F709" s="135"/>
      <c r="G709" s="135"/>
      <c r="H709" s="135"/>
    </row>
    <row r="710" spans="1:110" ht="12.95" customHeight="1">
      <c r="B710" s="135"/>
      <c r="C710" s="135"/>
      <c r="D710" s="136" t="s">
        <v>436</v>
      </c>
      <c r="E710" s="135"/>
      <c r="F710" s="135"/>
      <c r="G710" s="135"/>
      <c r="H710" s="135"/>
      <c r="AE710" s="1306" t="s">
        <v>543</v>
      </c>
      <c r="AF710" s="1306"/>
    </row>
    <row r="711" spans="1:110" ht="12.95" customHeight="1">
      <c r="B711" s="135"/>
      <c r="C711" s="135"/>
      <c r="D711" s="136" t="s">
        <v>440</v>
      </c>
      <c r="E711" s="135"/>
      <c r="F711" s="135"/>
      <c r="G711" s="135"/>
      <c r="H711" s="135"/>
      <c r="W711" s="1348" t="s">
        <v>2734</v>
      </c>
      <c r="X711" s="1348"/>
      <c r="Y711" s="1348"/>
      <c r="Z711" s="1348"/>
      <c r="AA711" s="1348"/>
      <c r="AB711" s="1348"/>
      <c r="AC711" s="1348"/>
      <c r="AD711" s="1348"/>
      <c r="AE711" s="1348"/>
      <c r="AF711" s="1348"/>
      <c r="AG711" s="1348"/>
      <c r="AH711" s="1348"/>
      <c r="AI711" s="1348"/>
      <c r="AJ711" s="1348"/>
      <c r="AK711" s="1348"/>
    </row>
    <row r="712" spans="1:110" ht="12.95" customHeight="1">
      <c r="B712" s="135"/>
      <c r="C712" s="135"/>
      <c r="D712" s="136" t="s">
        <v>87</v>
      </c>
      <c r="E712" s="135"/>
      <c r="F712" s="135"/>
      <c r="G712" s="135"/>
      <c r="H712" s="135"/>
      <c r="J712" s="1348" t="s">
        <v>2735</v>
      </c>
      <c r="K712" s="1348"/>
      <c r="L712" s="1348"/>
      <c r="M712" s="1348"/>
      <c r="N712" s="1348"/>
      <c r="O712" s="1348"/>
      <c r="P712" s="1348"/>
      <c r="Q712" s="1348"/>
      <c r="R712" s="1348"/>
      <c r="S712" s="1348"/>
      <c r="T712" s="1348"/>
      <c r="U712" s="1348"/>
      <c r="V712" s="1348"/>
      <c r="W712" s="1348"/>
      <c r="X712" s="1348"/>
      <c r="BB712" s="34"/>
      <c r="BC712" s="34"/>
      <c r="BD712" s="34"/>
      <c r="BE712" s="3"/>
      <c r="BF712" s="3"/>
      <c r="BJ712" s="3"/>
      <c r="BK712" s="3"/>
      <c r="BL712" s="3"/>
      <c r="BM712" s="3"/>
      <c r="BN712" s="34"/>
      <c r="BO712" s="34"/>
    </row>
    <row r="713" spans="1:110" ht="12.95" customHeight="1">
      <c r="B713" s="135"/>
      <c r="C713" s="135"/>
      <c r="D713" s="136" t="s">
        <v>88</v>
      </c>
      <c r="J713" s="1310">
        <v>2143603849</v>
      </c>
      <c r="K713" s="1310"/>
      <c r="L713" s="1310"/>
      <c r="M713" s="1310"/>
      <c r="N713" s="1310"/>
      <c r="O713" s="1310"/>
      <c r="P713" s="4" t="s">
        <v>205</v>
      </c>
      <c r="Q713" s="4"/>
      <c r="R713" s="1336"/>
      <c r="S713" s="1336"/>
      <c r="T713" s="133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441</v>
      </c>
      <c r="W714" s="1348" t="s">
        <v>299</v>
      </c>
      <c r="X714" s="1348"/>
      <c r="Y714" s="1348"/>
      <c r="Z714" s="1348"/>
      <c r="AA714" s="1348"/>
      <c r="AB714" s="1348"/>
      <c r="AC714" s="1348"/>
      <c r="AD714" s="1348"/>
      <c r="AE714" s="1348"/>
      <c r="AF714" s="1348"/>
      <c r="AG714" s="1348"/>
      <c r="AH714" s="1348"/>
      <c r="AI714" s="1348"/>
      <c r="AJ714" s="1348"/>
      <c r="AK714" s="134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35" t="s">
        <v>2758</v>
      </c>
      <c r="F715" s="1348"/>
      <c r="G715" s="1348"/>
      <c r="H715" s="1348"/>
      <c r="I715" s="1348"/>
      <c r="J715" s="1348"/>
      <c r="K715" s="1348"/>
      <c r="L715" s="1348"/>
      <c r="M715" s="1348"/>
      <c r="N715" s="1348"/>
      <c r="O715" s="1348"/>
      <c r="P715" s="1348"/>
      <c r="Q715" s="1348"/>
      <c r="R715" s="1348"/>
      <c r="S715" s="1348"/>
      <c r="T715" s="1348"/>
      <c r="U715" s="1348"/>
      <c r="V715" s="1348"/>
      <c r="W715" s="1348"/>
      <c r="X715" s="1348"/>
      <c r="Y715" s="1348"/>
      <c r="Z715" s="1348"/>
      <c r="AA715" s="1348"/>
      <c r="AB715" s="1348"/>
      <c r="AC715" s="1348"/>
      <c r="AD715" s="1348"/>
      <c r="AE715" s="1348"/>
      <c r="AF715" s="1348"/>
      <c r="AG715" s="1348"/>
      <c r="AH715" s="1348"/>
      <c r="AI715" s="1348"/>
      <c r="AJ715" s="1348"/>
      <c r="AK715" s="134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586" t="s">
        <v>95</v>
      </c>
      <c r="B717" s="1586"/>
      <c r="C717" s="1586"/>
      <c r="D717" s="1586"/>
      <c r="E717" s="1586"/>
      <c r="F717" s="1586"/>
      <c r="G717" s="1586"/>
      <c r="H717" s="1586"/>
      <c r="I717" s="1586"/>
      <c r="J717" s="1586"/>
      <c r="K717" s="1586"/>
      <c r="L717" s="1586"/>
      <c r="M717" s="1586"/>
      <c r="N717" s="1586"/>
      <c r="O717" s="1586"/>
      <c r="P717" s="1586"/>
      <c r="Q717" s="1586"/>
      <c r="R717" s="1586"/>
      <c r="S717" s="1586"/>
      <c r="T717" s="1586"/>
      <c r="U717" s="1586"/>
      <c r="V717" s="1586"/>
      <c r="W717" s="1586"/>
      <c r="X717" s="1586"/>
      <c r="Y717" s="1586"/>
      <c r="Z717" s="1586"/>
      <c r="AA717" s="1586"/>
      <c r="AB717" s="1586"/>
      <c r="AC717" s="1586"/>
      <c r="AD717" s="1586"/>
      <c r="AE717" s="1586"/>
      <c r="AF717" s="1586"/>
      <c r="AG717" s="1586"/>
      <c r="AH717" s="1586"/>
      <c r="AI717" s="1586"/>
      <c r="AJ717" s="1586"/>
      <c r="AK717" s="1586"/>
      <c r="AL717" s="1586"/>
      <c r="AM717" s="1586"/>
      <c r="AN717" s="1586"/>
      <c r="AO717" s="1586"/>
      <c r="AP717" s="1586"/>
      <c r="AQ717" s="1586"/>
      <c r="AR717" s="1586"/>
      <c r="AS717" s="1586"/>
      <c r="AT717" s="158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586"/>
      <c r="B718" s="1586"/>
      <c r="C718" s="1586"/>
      <c r="D718" s="1586"/>
      <c r="E718" s="1586"/>
      <c r="F718" s="1586"/>
      <c r="G718" s="1586"/>
      <c r="H718" s="1586"/>
      <c r="I718" s="1586"/>
      <c r="J718" s="1586"/>
      <c r="K718" s="1586"/>
      <c r="L718" s="1586"/>
      <c r="M718" s="1586"/>
      <c r="N718" s="1586"/>
      <c r="O718" s="1586"/>
      <c r="P718" s="1586"/>
      <c r="Q718" s="1586"/>
      <c r="R718" s="1586"/>
      <c r="S718" s="1586"/>
      <c r="T718" s="1586"/>
      <c r="U718" s="1586"/>
      <c r="V718" s="1586"/>
      <c r="W718" s="1586"/>
      <c r="X718" s="1586"/>
      <c r="Y718" s="1586"/>
      <c r="Z718" s="1586"/>
      <c r="AA718" s="1586"/>
      <c r="AB718" s="1586"/>
      <c r="AC718" s="1586"/>
      <c r="AD718" s="1586"/>
      <c r="AE718" s="1586"/>
      <c r="AF718" s="1586"/>
      <c r="AG718" s="1586"/>
      <c r="AH718" s="1586"/>
      <c r="AI718" s="1586"/>
      <c r="AJ718" s="1586"/>
      <c r="AK718" s="1586"/>
      <c r="AL718" s="1586"/>
      <c r="AM718" s="1586"/>
      <c r="AN718" s="1586"/>
      <c r="AO718" s="1586"/>
      <c r="AP718" s="1586"/>
      <c r="AQ718" s="1586"/>
      <c r="AR718" s="1586"/>
      <c r="AS718" s="1586"/>
      <c r="AT718" s="158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586"/>
      <c r="B719" s="1586"/>
      <c r="C719" s="1586"/>
      <c r="D719" s="1586"/>
      <c r="E719" s="1586"/>
      <c r="F719" s="1586"/>
      <c r="G719" s="1586"/>
      <c r="H719" s="1586"/>
      <c r="I719" s="1586"/>
      <c r="J719" s="1586"/>
      <c r="K719" s="1586"/>
      <c r="L719" s="1586"/>
      <c r="M719" s="1586"/>
      <c r="N719" s="1586"/>
      <c r="O719" s="1586"/>
      <c r="P719" s="1586"/>
      <c r="Q719" s="1586"/>
      <c r="R719" s="1586"/>
      <c r="S719" s="1586"/>
      <c r="T719" s="1586"/>
      <c r="U719" s="1586"/>
      <c r="V719" s="1586"/>
      <c r="W719" s="1586"/>
      <c r="X719" s="1586"/>
      <c r="Y719" s="1586"/>
      <c r="Z719" s="1586"/>
      <c r="AA719" s="1586"/>
      <c r="AB719" s="1586"/>
      <c r="AC719" s="1586"/>
      <c r="AD719" s="1586"/>
      <c r="AE719" s="1586"/>
      <c r="AF719" s="1586"/>
      <c r="AG719" s="1586"/>
      <c r="AH719" s="1586"/>
      <c r="AI719" s="1586"/>
      <c r="AJ719" s="1586"/>
      <c r="AK719" s="1586"/>
      <c r="AL719" s="1586"/>
      <c r="AM719" s="1586"/>
      <c r="AN719" s="1586"/>
      <c r="AO719" s="1586"/>
      <c r="AP719" s="1586"/>
      <c r="AQ719" s="1586"/>
      <c r="AR719" s="1586"/>
      <c r="AS719" s="1586"/>
      <c r="AT719" s="158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25" t="s">
        <v>387</v>
      </c>
      <c r="C722" s="1298"/>
      <c r="D722" s="1298"/>
      <c r="E722" s="1298"/>
      <c r="F722" s="1299"/>
      <c r="G722" s="1525" t="s">
        <v>284</v>
      </c>
      <c r="H722" s="1298"/>
      <c r="I722" s="1298"/>
      <c r="J722" s="1299"/>
      <c r="K722" s="1526" t="s">
        <v>1666</v>
      </c>
      <c r="L722" s="1527"/>
      <c r="M722" s="1527"/>
      <c r="N722" s="1528"/>
      <c r="O722" s="1525" t="s">
        <v>445</v>
      </c>
      <c r="P722" s="1298"/>
      <c r="Q722" s="1298"/>
      <c r="R722" s="1298"/>
      <c r="S722" s="1299"/>
      <c r="T722" s="1297" t="s">
        <v>1920</v>
      </c>
      <c r="U722" s="1298"/>
      <c r="V722" s="1298"/>
      <c r="W722" s="1299"/>
      <c r="X722" s="1297" t="s">
        <v>1922</v>
      </c>
      <c r="Y722" s="1298"/>
      <c r="Z722" s="1298"/>
      <c r="AA722" s="1298"/>
      <c r="AB722" s="1299"/>
      <c r="AC722" s="1297" t="s">
        <v>1921</v>
      </c>
      <c r="AD722" s="1298"/>
      <c r="AE722" s="1298"/>
      <c r="AF722" s="1298"/>
      <c r="AG722" s="1299"/>
      <c r="AH722" s="1297" t="s">
        <v>1923</v>
      </c>
      <c r="AI722" s="1298"/>
      <c r="AJ722" s="1299"/>
      <c r="AK722" s="1297" t="s">
        <v>1950</v>
      </c>
      <c r="AL722" s="1298"/>
      <c r="AM722" s="1298"/>
      <c r="AN722" s="1298"/>
      <c r="AO722" s="1299"/>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00"/>
      <c r="C723" s="1301"/>
      <c r="D723" s="1301"/>
      <c r="E723" s="1301"/>
      <c r="F723" s="1302"/>
      <c r="G723" s="1300"/>
      <c r="H723" s="1301"/>
      <c r="I723" s="1301"/>
      <c r="J723" s="1302"/>
      <c r="K723" s="1529"/>
      <c r="L723" s="1530"/>
      <c r="M723" s="1530"/>
      <c r="N723" s="1531"/>
      <c r="O723" s="1300"/>
      <c r="P723" s="1301"/>
      <c r="Q723" s="1301"/>
      <c r="R723" s="1301"/>
      <c r="S723" s="1302"/>
      <c r="T723" s="1300"/>
      <c r="U723" s="1301"/>
      <c r="V723" s="1301"/>
      <c r="W723" s="1302"/>
      <c r="X723" s="1300"/>
      <c r="Y723" s="1301"/>
      <c r="Z723" s="1301"/>
      <c r="AA723" s="1301"/>
      <c r="AB723" s="1302"/>
      <c r="AC723" s="1300"/>
      <c r="AD723" s="1301"/>
      <c r="AE723" s="1301"/>
      <c r="AF723" s="1301"/>
      <c r="AG723" s="1302"/>
      <c r="AH723" s="1300"/>
      <c r="AI723" s="1301"/>
      <c r="AJ723" s="1302"/>
      <c r="AK723" s="1300"/>
      <c r="AL723" s="1301"/>
      <c r="AM723" s="1301"/>
      <c r="AN723" s="1301"/>
      <c r="AO723" s="1302"/>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00"/>
      <c r="C724" s="1301"/>
      <c r="D724" s="1301"/>
      <c r="E724" s="1301"/>
      <c r="F724" s="1302"/>
      <c r="G724" s="1300"/>
      <c r="H724" s="1301"/>
      <c r="I724" s="1301"/>
      <c r="J724" s="1302"/>
      <c r="K724" s="1529"/>
      <c r="L724" s="1530"/>
      <c r="M724" s="1530"/>
      <c r="N724" s="1531"/>
      <c r="O724" s="1300"/>
      <c r="P724" s="1301"/>
      <c r="Q724" s="1301"/>
      <c r="R724" s="1301"/>
      <c r="S724" s="1302"/>
      <c r="T724" s="1300"/>
      <c r="U724" s="1301"/>
      <c r="V724" s="1301"/>
      <c r="W724" s="1302"/>
      <c r="X724" s="1300"/>
      <c r="Y724" s="1301"/>
      <c r="Z724" s="1301"/>
      <c r="AA724" s="1301"/>
      <c r="AB724" s="1302"/>
      <c r="AC724" s="1300"/>
      <c r="AD724" s="1301"/>
      <c r="AE724" s="1301"/>
      <c r="AF724" s="1301"/>
      <c r="AG724" s="1302"/>
      <c r="AH724" s="1300"/>
      <c r="AI724" s="1301"/>
      <c r="AJ724" s="1302"/>
      <c r="AK724" s="1300"/>
      <c r="AL724" s="1301"/>
      <c r="AM724" s="1301"/>
      <c r="AN724" s="1301"/>
      <c r="AO724" s="1302"/>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358</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03"/>
      <c r="C725" s="1304"/>
      <c r="D725" s="1304"/>
      <c r="E725" s="1304"/>
      <c r="F725" s="1305"/>
      <c r="G725" s="1303"/>
      <c r="H725" s="1304"/>
      <c r="I725" s="1304"/>
      <c r="J725" s="1305"/>
      <c r="K725" s="1529"/>
      <c r="L725" s="1530"/>
      <c r="M725" s="1530"/>
      <c r="N725" s="1531"/>
      <c r="O725" s="1303"/>
      <c r="P725" s="1304"/>
      <c r="Q725" s="1304"/>
      <c r="R725" s="1304"/>
      <c r="S725" s="1305"/>
      <c r="T725" s="1303"/>
      <c r="U725" s="1304"/>
      <c r="V725" s="1304"/>
      <c r="W725" s="1305"/>
      <c r="X725" s="1303"/>
      <c r="Y725" s="1304"/>
      <c r="Z725" s="1304"/>
      <c r="AA725" s="1304"/>
      <c r="AB725" s="1305"/>
      <c r="AC725" s="1303"/>
      <c r="AD725" s="1304"/>
      <c r="AE725" s="1304"/>
      <c r="AF725" s="1304"/>
      <c r="AG725" s="1305"/>
      <c r="AH725" s="1303"/>
      <c r="AI725" s="1304"/>
      <c r="AJ725" s="1305"/>
      <c r="AK725" s="1303"/>
      <c r="AL725" s="1304"/>
      <c r="AM725" s="1304"/>
      <c r="AN725" s="1304"/>
      <c r="AO725" s="1305"/>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472</v>
      </c>
      <c r="CH725" s="122"/>
      <c r="CI725" s="1270"/>
      <c r="CJ725" s="1272"/>
      <c r="CK725" s="121" t="s">
        <v>473</v>
      </c>
      <c r="CL725" s="122"/>
      <c r="CM725" s="1270"/>
      <c r="CN725" s="1272"/>
      <c r="CO725" s="3"/>
      <c r="CP725" s="1601" t="s">
        <v>631</v>
      </c>
      <c r="CQ725" s="1602"/>
      <c r="CR725" s="1602"/>
      <c r="CS725" s="1602"/>
      <c r="CT725" s="1603"/>
      <c r="CU725" s="1587" t="s">
        <v>324</v>
      </c>
      <c r="CV725" s="1587"/>
      <c r="CW725" s="1587"/>
      <c r="CX725" s="1587"/>
      <c r="CY725" s="1587"/>
      <c r="CZ725" s="1587" t="s">
        <v>163</v>
      </c>
      <c r="DA725" s="1587"/>
      <c r="DB725" s="1587"/>
      <c r="DC725" s="1587"/>
      <c r="DD725" s="1587"/>
      <c r="DE725" s="1587" t="s">
        <v>164</v>
      </c>
      <c r="DF725" s="1587"/>
      <c r="DG725" s="1587"/>
      <c r="DH725" s="1587"/>
      <c r="DI725" s="1587"/>
      <c r="DJ725" s="1587" t="s">
        <v>458</v>
      </c>
      <c r="DK725" s="1587"/>
      <c r="DL725" s="1587"/>
      <c r="DM725" s="1587"/>
      <c r="DN725" s="1587"/>
      <c r="DO725" s="1587" t="s">
        <v>30</v>
      </c>
      <c r="DP725" s="1587"/>
      <c r="DQ725" s="1587"/>
      <c r="DR725" s="1587"/>
      <c r="DS725" s="1587"/>
      <c r="DT725" s="89"/>
      <c r="DU725" s="1587" t="s">
        <v>631</v>
      </c>
      <c r="DV725" s="1587"/>
      <c r="DW725" s="1587"/>
      <c r="DX725" s="1587"/>
      <c r="DY725" s="1587"/>
      <c r="DZ725" s="1587" t="s">
        <v>324</v>
      </c>
      <c r="EA725" s="1587"/>
      <c r="EB725" s="1587"/>
      <c r="EC725" s="1587"/>
      <c r="ED725" s="1587"/>
      <c r="EE725" s="1587" t="s">
        <v>163</v>
      </c>
      <c r="EF725" s="1587"/>
      <c r="EG725" s="1587"/>
      <c r="EH725" s="1587"/>
      <c r="EI725" s="1587"/>
      <c r="EJ725" s="1587" t="s">
        <v>164</v>
      </c>
      <c r="EK725" s="1587"/>
      <c r="EL725" s="1587"/>
      <c r="EM725" s="1587"/>
      <c r="EN725" s="1587"/>
      <c r="EO725" s="1587" t="s">
        <v>458</v>
      </c>
      <c r="EP725" s="1587"/>
      <c r="EQ725" s="1587"/>
      <c r="ER725" s="1587"/>
      <c r="ES725" s="1587"/>
      <c r="ET725" s="1587" t="s">
        <v>30</v>
      </c>
      <c r="EU725" s="1587"/>
      <c r="EV725" s="1587"/>
      <c r="EW725" s="1587"/>
      <c r="EX725" s="1587"/>
      <c r="EY725" s="4"/>
      <c r="EZ725" s="1587" t="s">
        <v>631</v>
      </c>
      <c r="FA725" s="1587"/>
      <c r="FB725" s="1587"/>
      <c r="FC725" s="1587"/>
      <c r="FD725" s="1587"/>
      <c r="FE725" s="1587" t="s">
        <v>324</v>
      </c>
      <c r="FF725" s="1587"/>
      <c r="FG725" s="1587"/>
      <c r="FH725" s="1587"/>
      <c r="FI725" s="1587"/>
      <c r="FJ725" s="1587" t="s">
        <v>163</v>
      </c>
      <c r="FK725" s="1587"/>
      <c r="FL725" s="1587"/>
      <c r="FM725" s="1587"/>
      <c r="FN725" s="1587"/>
      <c r="FO725" s="1587" t="s">
        <v>164</v>
      </c>
      <c r="FP725" s="1587"/>
      <c r="FQ725" s="1587"/>
      <c r="FR725" s="1587"/>
      <c r="FS725" s="1587"/>
      <c r="FT725" s="1587" t="s">
        <v>458</v>
      </c>
      <c r="FU725" s="1587"/>
      <c r="FV725" s="1587"/>
      <c r="FW725" s="1587"/>
      <c r="FX725" s="1587"/>
      <c r="FY725" s="1587" t="s">
        <v>30</v>
      </c>
      <c r="FZ725" s="1587"/>
      <c r="GA725" s="1587"/>
      <c r="GB725" s="1587"/>
      <c r="GC725" s="1587"/>
    </row>
    <row r="726" spans="1:185" ht="12.95" customHeight="1">
      <c r="A726" s="4"/>
      <c r="B726" s="1290" t="s">
        <v>324</v>
      </c>
      <c r="C726" s="1291"/>
      <c r="D726" s="1291"/>
      <c r="E726" s="1291"/>
      <c r="F726" s="1292"/>
      <c r="G726" s="1513">
        <v>18</v>
      </c>
      <c r="H726" s="1514"/>
      <c r="I726" s="1514"/>
      <c r="J726" s="1515"/>
      <c r="K726" s="1520">
        <v>549</v>
      </c>
      <c r="L726" s="1521"/>
      <c r="M726" s="1521"/>
      <c r="N726" s="1522"/>
      <c r="O726" s="1406">
        <f>629-T726</f>
        <v>602</v>
      </c>
      <c r="P726" s="1407"/>
      <c r="Q726" s="1407"/>
      <c r="R726" s="1407"/>
      <c r="S726" s="1408"/>
      <c r="T726" s="1406">
        <v>27</v>
      </c>
      <c r="U726" s="1407"/>
      <c r="V726" s="1407"/>
      <c r="W726" s="1408"/>
      <c r="X726" s="1329">
        <f t="shared" ref="X726:X749" si="10">O726+T726</f>
        <v>629</v>
      </c>
      <c r="Y726" s="1330"/>
      <c r="Z726" s="1330"/>
      <c r="AA726" s="1330"/>
      <c r="AB726" s="1331"/>
      <c r="AC726" s="1517">
        <v>0.3</v>
      </c>
      <c r="AD726" s="1518"/>
      <c r="AE726" s="1518"/>
      <c r="AF726" s="1518"/>
      <c r="AG726" s="1519"/>
      <c r="AH726" s="1311">
        <f>IF($AC726&gt;0,($X726/$AZ726), "")</f>
        <v>0.29980934223069589</v>
      </c>
      <c r="AI726" s="1312"/>
      <c r="AJ726" s="1313"/>
      <c r="AK726" s="1290" t="s">
        <v>589</v>
      </c>
      <c r="AL726" s="1291"/>
      <c r="AM726" s="1291"/>
      <c r="AN726" s="1291"/>
      <c r="AO726" s="1292"/>
      <c r="AP726" s="3"/>
      <c r="AQ726" s="3"/>
      <c r="AR726" s="3"/>
      <c r="AS726" s="3"/>
      <c r="AZ726" s="118">
        <f t="shared" ref="AZ726:AZ760" si="11">IF($G726=0,"N/A",VLOOKUP($T$189,TC_Rent,(MATCH($B726,bedrooms,FALSE)),FALSE))</f>
        <v>2098</v>
      </c>
      <c r="BA726" s="3"/>
      <c r="BB726" s="3"/>
      <c r="BC726" s="3"/>
      <c r="BD726" s="3"/>
      <c r="BE726" s="204"/>
      <c r="BF726" s="293">
        <f t="shared" ref="BF726:BF760" si="12">G726</f>
        <v>18</v>
      </c>
      <c r="BG726" s="297">
        <f t="shared" ref="BG726:BG760" si="13">IF($BF$761=0,0,BF726/$BF$761)</f>
        <v>7.5949367088607597E-2</v>
      </c>
      <c r="BH726" s="298">
        <f t="shared" ref="BH726:BH760" si="14">IF(BG726=0,"",BG726*AC726)</f>
        <v>2.2784810126582278E-2</v>
      </c>
      <c r="BI726" s="3"/>
      <c r="BJ726" s="3"/>
      <c r="BK726" s="3"/>
      <c r="BL726" s="3"/>
      <c r="BM726" s="3"/>
      <c r="BN726" s="3"/>
      <c r="BS726" s="293">
        <f t="shared" ref="BS726:BS760" si="15">G726</f>
        <v>18</v>
      </c>
      <c r="BT726" s="297">
        <f t="shared" ref="BT726:BT760" si="16">IF($BS$761=0,0,BS726/$BS$761)</f>
        <v>7.5949367088607597E-2</v>
      </c>
      <c r="BU726" s="298">
        <f t="shared" ref="BU726:BU760" si="17">IF(BT726=0,"",BT726*AH726)</f>
        <v>2.2770329789673107E-2</v>
      </c>
      <c r="CC726" s="3"/>
      <c r="CD726" s="3"/>
      <c r="CE726" s="3"/>
      <c r="CF726" s="3"/>
      <c r="CG726" s="1275">
        <f>IF(AND(AC726&lt;=0.5,AC726&gt;=0.36),1,0)</f>
        <v>0</v>
      </c>
      <c r="CH726" s="1276"/>
      <c r="CI726" s="1270">
        <f>IF(CG726=1,G726,0)</f>
        <v>0</v>
      </c>
      <c r="CJ726" s="1272"/>
      <c r="CK726" s="1275">
        <f t="shared" ref="CK726:CK760" si="18">IF(AND(AC726&lt;=0.35,AC726&gt;0),1,0)</f>
        <v>1</v>
      </c>
      <c r="CL726" s="1276"/>
      <c r="CM726" s="1270">
        <f t="shared" ref="CM726:CM760" si="19">IF(CK726=1,G726,0)</f>
        <v>18</v>
      </c>
      <c r="CN726" s="1272"/>
      <c r="CO726" s="3"/>
      <c r="CP726" s="1267">
        <f t="shared" ref="CP726:CP760" si="20">IF(B726="SRO/Studio",G726,0)</f>
        <v>0</v>
      </c>
      <c r="CQ726" s="1268"/>
      <c r="CR726" s="1268"/>
      <c r="CS726" s="1268"/>
      <c r="CT726" s="1269"/>
      <c r="CU726" s="1289">
        <f t="shared" ref="CU726:CU760" si="21">IF(B726="1 Bedroom",G726,0)</f>
        <v>18</v>
      </c>
      <c r="CV726" s="1289"/>
      <c r="CW726" s="1289"/>
      <c r="CX726" s="1289"/>
      <c r="CY726" s="1289"/>
      <c r="CZ726" s="1289">
        <f t="shared" ref="CZ726:CZ760" si="22">IF(B726="2 Bedrooms",G726,0)</f>
        <v>0</v>
      </c>
      <c r="DA726" s="1289"/>
      <c r="DB726" s="1289"/>
      <c r="DC726" s="1289"/>
      <c r="DD726" s="1289"/>
      <c r="DE726" s="1289">
        <f t="shared" ref="DE726:DE760" si="23">IF(B726="3 Bedrooms",G726,0)</f>
        <v>0</v>
      </c>
      <c r="DF726" s="1289"/>
      <c r="DG726" s="1289"/>
      <c r="DH726" s="1289"/>
      <c r="DI726" s="1289"/>
      <c r="DJ726" s="1289">
        <f t="shared" ref="DJ726:DJ760" si="24">IF(B726="4 Bedrooms",G726,0)</f>
        <v>0</v>
      </c>
      <c r="DK726" s="1289"/>
      <c r="DL726" s="1289"/>
      <c r="DM726" s="1289"/>
      <c r="DN726" s="1289"/>
      <c r="DO726" s="1289">
        <f t="shared" ref="DO726:DO760" si="25">IF(B726="5 Bedrooms",G726,0)</f>
        <v>0</v>
      </c>
      <c r="DP726" s="1289"/>
      <c r="DQ726" s="1289"/>
      <c r="DR726" s="1289"/>
      <c r="DS726" s="1289"/>
      <c r="DT726" s="6"/>
      <c r="DU726" s="1293">
        <f t="shared" ref="DU726:DU760" si="26">IF(AND(B726="SRO/Studio",AC726&lt;=0.3),G726,0)</f>
        <v>0</v>
      </c>
      <c r="DV726" s="1293"/>
      <c r="DW726" s="1293"/>
      <c r="DX726" s="1293"/>
      <c r="DY726" s="1293"/>
      <c r="DZ726" s="1293">
        <f t="shared" ref="DZ726:DZ760" si="27">IF(AND(B726="1 Bedroom",AC726&lt;=0.3),G726,0)</f>
        <v>18</v>
      </c>
      <c r="EA726" s="1293"/>
      <c r="EB726" s="1293"/>
      <c r="EC726" s="1293"/>
      <c r="ED726" s="1293"/>
      <c r="EE726" s="1293">
        <f t="shared" ref="EE726:EE760" si="28">IF(AND(B726="2 Bedrooms",AC726&lt;=0.3),G726,0)</f>
        <v>0</v>
      </c>
      <c r="EF726" s="1293"/>
      <c r="EG726" s="1293"/>
      <c r="EH726" s="1293"/>
      <c r="EI726" s="1293"/>
      <c r="EJ726" s="1293">
        <f t="shared" ref="EJ726:EJ760" si="29">IF(AND(B726="3 Bedrooms",AC726&lt;=0.3),G726,0)</f>
        <v>0</v>
      </c>
      <c r="EK726" s="1293"/>
      <c r="EL726" s="1293"/>
      <c r="EM726" s="1293"/>
      <c r="EN726" s="1293"/>
      <c r="EO726" s="1293">
        <f t="shared" ref="EO726:EO760" si="30">IF(AND(B726="4 Bedrooms",AC726&lt;=0.3),G726,0)</f>
        <v>0</v>
      </c>
      <c r="EP726" s="1293"/>
      <c r="EQ726" s="1293"/>
      <c r="ER726" s="1293"/>
      <c r="ES726" s="1293"/>
      <c r="ET726" s="1293">
        <f t="shared" ref="ET726:ET760" si="31">IF(AND(B726="5 Bedrooms",AC726&lt;=0.3),G726,0)</f>
        <v>0</v>
      </c>
      <c r="EU726" s="1293"/>
      <c r="EV726" s="1293"/>
      <c r="EW726" s="1293"/>
      <c r="EX726" s="1293"/>
      <c r="EY726" s="4"/>
      <c r="EZ726" s="1275" t="str">
        <f t="shared" ref="EZ726:EZ760" si="32">IF(CP726&gt;0,O726,"")</f>
        <v/>
      </c>
      <c r="FA726" s="1288"/>
      <c r="FB726" s="1288"/>
      <c r="FC726" s="1288"/>
      <c r="FD726" s="1276"/>
      <c r="FE726" s="1275">
        <f t="shared" ref="FE726:FE760" si="33">IF(CU726&gt;0,O726,"")</f>
        <v>602</v>
      </c>
      <c r="FF726" s="1288"/>
      <c r="FG726" s="1288"/>
      <c r="FH726" s="1288"/>
      <c r="FI726" s="1276"/>
      <c r="FJ726" s="1275" t="str">
        <f t="shared" ref="FJ726:FJ760" si="34">IF(CZ726&gt;0,O726,"")</f>
        <v/>
      </c>
      <c r="FK726" s="1288"/>
      <c r="FL726" s="1288"/>
      <c r="FM726" s="1288"/>
      <c r="FN726" s="1276"/>
      <c r="FO726" s="1275" t="str">
        <f t="shared" ref="FO726:FO760" si="35">IF(DE726&gt;0,O726,"")</f>
        <v/>
      </c>
      <c r="FP726" s="1288"/>
      <c r="FQ726" s="1288"/>
      <c r="FR726" s="1288"/>
      <c r="FS726" s="1276"/>
      <c r="FT726" s="1275" t="str">
        <f t="shared" ref="FT726:FT760" si="36">IF(DJ726&gt;0,O726,"")</f>
        <v/>
      </c>
      <c r="FU726" s="1288"/>
      <c r="FV726" s="1288"/>
      <c r="FW726" s="1288"/>
      <c r="FX726" s="1276"/>
      <c r="FY726" s="1275" t="str">
        <f t="shared" ref="FY726:FY760" si="37">IF(DO726&gt;0,O726,"")</f>
        <v/>
      </c>
      <c r="FZ726" s="1288"/>
      <c r="GA726" s="1288"/>
      <c r="GB726" s="1288"/>
      <c r="GC726" s="1276"/>
    </row>
    <row r="727" spans="1:185" ht="12.95" customHeight="1">
      <c r="A727" s="4"/>
      <c r="B727" s="1290" t="s">
        <v>324</v>
      </c>
      <c r="C727" s="1291"/>
      <c r="D727" s="1291"/>
      <c r="E727" s="1291"/>
      <c r="F727" s="1292"/>
      <c r="G727" s="1513">
        <v>4</v>
      </c>
      <c r="H727" s="1514"/>
      <c r="I727" s="1514"/>
      <c r="J727" s="1515"/>
      <c r="K727" s="1520">
        <v>549</v>
      </c>
      <c r="L727" s="1521"/>
      <c r="M727" s="1521"/>
      <c r="N727" s="1522"/>
      <c r="O727" s="1406">
        <f>1049-T727</f>
        <v>1022</v>
      </c>
      <c r="P727" s="1407"/>
      <c r="Q727" s="1407"/>
      <c r="R727" s="1407"/>
      <c r="S727" s="1408"/>
      <c r="T727" s="1406">
        <v>27</v>
      </c>
      <c r="U727" s="1407"/>
      <c r="V727" s="1407"/>
      <c r="W727" s="1408"/>
      <c r="X727" s="1329">
        <f t="shared" si="10"/>
        <v>1049</v>
      </c>
      <c r="Y727" s="1330"/>
      <c r="Z727" s="1330"/>
      <c r="AA727" s="1330"/>
      <c r="AB727" s="1331"/>
      <c r="AC727" s="1517">
        <v>0.5</v>
      </c>
      <c r="AD727" s="1518"/>
      <c r="AE727" s="1518"/>
      <c r="AF727" s="1518"/>
      <c r="AG727" s="1519"/>
      <c r="AH727" s="1311">
        <f t="shared" ref="AH727:AH760" si="38">IF($AC727&gt;0,($X727/$AZ727), "")</f>
        <v>0.5</v>
      </c>
      <c r="AI727" s="1312"/>
      <c r="AJ727" s="1313"/>
      <c r="AK727" s="1290" t="s">
        <v>589</v>
      </c>
      <c r="AL727" s="1291"/>
      <c r="AM727" s="1291"/>
      <c r="AN727" s="1291"/>
      <c r="AO727" s="1292"/>
      <c r="AP727" s="3"/>
      <c r="AQ727" s="3"/>
      <c r="AR727" s="3"/>
      <c r="AS727" s="3"/>
      <c r="AZ727" s="118">
        <f t="shared" si="11"/>
        <v>2098</v>
      </c>
      <c r="BA727" s="3"/>
      <c r="BB727" s="3"/>
      <c r="BC727" s="3"/>
      <c r="BD727" s="3"/>
      <c r="BE727" s="204"/>
      <c r="BF727" s="294">
        <f t="shared" si="12"/>
        <v>4</v>
      </c>
      <c r="BG727" s="297">
        <f t="shared" si="13"/>
        <v>1.6877637130801686E-2</v>
      </c>
      <c r="BH727" s="298">
        <f t="shared" si="14"/>
        <v>8.4388185654008432E-3</v>
      </c>
      <c r="BI727" s="3"/>
      <c r="BJ727" s="3"/>
      <c r="BK727" s="3"/>
      <c r="BL727" s="3"/>
      <c r="BM727" s="3"/>
      <c r="BN727" s="3"/>
      <c r="BS727" s="294">
        <f t="shared" si="15"/>
        <v>4</v>
      </c>
      <c r="BT727" s="297">
        <f t="shared" si="16"/>
        <v>1.6877637130801686E-2</v>
      </c>
      <c r="BU727" s="298">
        <f t="shared" si="17"/>
        <v>8.4388185654008432E-3</v>
      </c>
      <c r="CC727" s="3"/>
      <c r="CD727" s="3"/>
      <c r="CE727" s="3"/>
      <c r="CF727" s="3"/>
      <c r="CG727" s="1275">
        <f t="shared" ref="CG727:CG760" si="39">IF(AND(AC727&lt;=0.5,AC727&gt;=0.36),1,0)</f>
        <v>1</v>
      </c>
      <c r="CH727" s="1276"/>
      <c r="CI727" s="1270">
        <f t="shared" ref="CI727:CI760" si="40">IF(CG727=1,G727,0)</f>
        <v>4</v>
      </c>
      <c r="CJ727" s="1272"/>
      <c r="CK727" s="1275">
        <f t="shared" si="18"/>
        <v>0</v>
      </c>
      <c r="CL727" s="1276"/>
      <c r="CM727" s="1270">
        <f t="shared" si="19"/>
        <v>0</v>
      </c>
      <c r="CN727" s="1272"/>
      <c r="CO727" s="3"/>
      <c r="CP727" s="1267">
        <f t="shared" si="20"/>
        <v>0</v>
      </c>
      <c r="CQ727" s="1268"/>
      <c r="CR727" s="1268"/>
      <c r="CS727" s="1268"/>
      <c r="CT727" s="1269"/>
      <c r="CU727" s="1289">
        <f t="shared" si="21"/>
        <v>4</v>
      </c>
      <c r="CV727" s="1289"/>
      <c r="CW727" s="1289"/>
      <c r="CX727" s="1289"/>
      <c r="CY727" s="1289"/>
      <c r="CZ727" s="1289">
        <f t="shared" si="22"/>
        <v>0</v>
      </c>
      <c r="DA727" s="1289"/>
      <c r="DB727" s="1289"/>
      <c r="DC727" s="1289"/>
      <c r="DD727" s="1289"/>
      <c r="DE727" s="1289">
        <f t="shared" si="23"/>
        <v>0</v>
      </c>
      <c r="DF727" s="1289"/>
      <c r="DG727" s="1289"/>
      <c r="DH727" s="1289"/>
      <c r="DI727" s="1289"/>
      <c r="DJ727" s="1289">
        <f t="shared" si="24"/>
        <v>0</v>
      </c>
      <c r="DK727" s="1289"/>
      <c r="DL727" s="1289"/>
      <c r="DM727" s="1289"/>
      <c r="DN727" s="1289"/>
      <c r="DO727" s="1289">
        <f t="shared" si="25"/>
        <v>0</v>
      </c>
      <c r="DP727" s="1289"/>
      <c r="DQ727" s="1289"/>
      <c r="DR727" s="1289"/>
      <c r="DS727" s="1289"/>
      <c r="DT727" s="6"/>
      <c r="DU727" s="1293">
        <f t="shared" si="26"/>
        <v>0</v>
      </c>
      <c r="DV727" s="1293"/>
      <c r="DW727" s="1293"/>
      <c r="DX727" s="1293"/>
      <c r="DY727" s="1293"/>
      <c r="DZ727" s="1293">
        <f t="shared" si="27"/>
        <v>0</v>
      </c>
      <c r="EA727" s="1293"/>
      <c r="EB727" s="1293"/>
      <c r="EC727" s="1293"/>
      <c r="ED727" s="1293"/>
      <c r="EE727" s="1293">
        <f t="shared" si="28"/>
        <v>0</v>
      </c>
      <c r="EF727" s="1293"/>
      <c r="EG727" s="1293"/>
      <c r="EH727" s="1293"/>
      <c r="EI727" s="1293"/>
      <c r="EJ727" s="1293">
        <f t="shared" si="29"/>
        <v>0</v>
      </c>
      <c r="EK727" s="1293"/>
      <c r="EL727" s="1293"/>
      <c r="EM727" s="1293"/>
      <c r="EN727" s="1293"/>
      <c r="EO727" s="1293">
        <f t="shared" si="30"/>
        <v>0</v>
      </c>
      <c r="EP727" s="1293"/>
      <c r="EQ727" s="1293"/>
      <c r="ER727" s="1293"/>
      <c r="ES727" s="1293"/>
      <c r="ET727" s="1293">
        <f t="shared" si="31"/>
        <v>0</v>
      </c>
      <c r="EU727" s="1293"/>
      <c r="EV727" s="1293"/>
      <c r="EW727" s="1293"/>
      <c r="EX727" s="1293"/>
      <c r="EY727" s="4"/>
      <c r="EZ727" s="1275" t="str">
        <f t="shared" si="32"/>
        <v/>
      </c>
      <c r="FA727" s="1288"/>
      <c r="FB727" s="1288"/>
      <c r="FC727" s="1288"/>
      <c r="FD727" s="1276"/>
      <c r="FE727" s="1275">
        <f t="shared" si="33"/>
        <v>1022</v>
      </c>
      <c r="FF727" s="1288"/>
      <c r="FG727" s="1288"/>
      <c r="FH727" s="1288"/>
      <c r="FI727" s="1276"/>
      <c r="FJ727" s="1275" t="str">
        <f t="shared" si="34"/>
        <v/>
      </c>
      <c r="FK727" s="1288"/>
      <c r="FL727" s="1288"/>
      <c r="FM727" s="1288"/>
      <c r="FN727" s="1276"/>
      <c r="FO727" s="1275" t="str">
        <f t="shared" si="35"/>
        <v/>
      </c>
      <c r="FP727" s="1288"/>
      <c r="FQ727" s="1288"/>
      <c r="FR727" s="1288"/>
      <c r="FS727" s="1276"/>
      <c r="FT727" s="1275" t="str">
        <f t="shared" si="36"/>
        <v/>
      </c>
      <c r="FU727" s="1288"/>
      <c r="FV727" s="1288"/>
      <c r="FW727" s="1288"/>
      <c r="FX727" s="1276"/>
      <c r="FY727" s="1275" t="str">
        <f t="shared" si="37"/>
        <v/>
      </c>
      <c r="FZ727" s="1288"/>
      <c r="GA727" s="1288"/>
      <c r="GB727" s="1288"/>
      <c r="GC727" s="1276"/>
    </row>
    <row r="728" spans="1:185" ht="12.95" customHeight="1">
      <c r="A728" s="4"/>
      <c r="B728" s="1290" t="s">
        <v>324</v>
      </c>
      <c r="C728" s="1291"/>
      <c r="D728" s="1291"/>
      <c r="E728" s="1291"/>
      <c r="F728" s="1292"/>
      <c r="G728" s="1513">
        <v>14</v>
      </c>
      <c r="H728" s="1514"/>
      <c r="I728" s="1514"/>
      <c r="J728" s="1515"/>
      <c r="K728" s="1520">
        <v>549</v>
      </c>
      <c r="L728" s="1521"/>
      <c r="M728" s="1521"/>
      <c r="N728" s="1522"/>
      <c r="O728" s="1406">
        <f>1259-T728</f>
        <v>1232</v>
      </c>
      <c r="P728" s="1407"/>
      <c r="Q728" s="1407"/>
      <c r="R728" s="1407"/>
      <c r="S728" s="1408"/>
      <c r="T728" s="1406">
        <v>27</v>
      </c>
      <c r="U728" s="1407"/>
      <c r="V728" s="1407"/>
      <c r="W728" s="1408"/>
      <c r="X728" s="1329">
        <f t="shared" si="10"/>
        <v>1259</v>
      </c>
      <c r="Y728" s="1330"/>
      <c r="Z728" s="1330"/>
      <c r="AA728" s="1330"/>
      <c r="AB728" s="1331"/>
      <c r="AC728" s="1517">
        <v>0.6</v>
      </c>
      <c r="AD728" s="1518"/>
      <c r="AE728" s="1518"/>
      <c r="AF728" s="1518"/>
      <c r="AG728" s="1519"/>
      <c r="AH728" s="1311">
        <f t="shared" si="38"/>
        <v>0.600095328884652</v>
      </c>
      <c r="AI728" s="1312"/>
      <c r="AJ728" s="1313"/>
      <c r="AK728" s="1290" t="s">
        <v>589</v>
      </c>
      <c r="AL728" s="1291"/>
      <c r="AM728" s="1291"/>
      <c r="AN728" s="1291"/>
      <c r="AO728" s="1292"/>
      <c r="AP728" s="3"/>
      <c r="AQ728" s="3"/>
      <c r="AR728" s="3"/>
      <c r="AS728" s="3"/>
      <c r="AZ728" s="118">
        <f t="shared" si="11"/>
        <v>2098</v>
      </c>
      <c r="BA728" s="3"/>
      <c r="BB728" s="3"/>
      <c r="BC728" s="3"/>
      <c r="BD728" s="3"/>
      <c r="BE728" s="204"/>
      <c r="BF728" s="294">
        <f t="shared" si="12"/>
        <v>14</v>
      </c>
      <c r="BG728" s="297">
        <f t="shared" si="13"/>
        <v>5.9071729957805907E-2</v>
      </c>
      <c r="BH728" s="298">
        <f t="shared" si="14"/>
        <v>3.5443037974683546E-2</v>
      </c>
      <c r="BI728" s="3"/>
      <c r="BJ728" s="3"/>
      <c r="BK728" s="3"/>
      <c r="BL728" s="3"/>
      <c r="BM728" s="3"/>
      <c r="BN728" s="3"/>
      <c r="BS728" s="294">
        <f t="shared" si="15"/>
        <v>14</v>
      </c>
      <c r="BT728" s="297">
        <f t="shared" si="16"/>
        <v>5.9071729957805907E-2</v>
      </c>
      <c r="BU728" s="298">
        <f t="shared" si="17"/>
        <v>3.5448669216814888E-2</v>
      </c>
      <c r="CC728" s="3"/>
      <c r="CD728" s="3"/>
      <c r="CE728" s="3"/>
      <c r="CF728" s="3"/>
      <c r="CG728" s="1275">
        <f t="shared" si="39"/>
        <v>0</v>
      </c>
      <c r="CH728" s="1276"/>
      <c r="CI728" s="1270">
        <f t="shared" si="40"/>
        <v>0</v>
      </c>
      <c r="CJ728" s="1272"/>
      <c r="CK728" s="1275">
        <f t="shared" si="18"/>
        <v>0</v>
      </c>
      <c r="CL728" s="1276"/>
      <c r="CM728" s="1270">
        <f t="shared" si="19"/>
        <v>0</v>
      </c>
      <c r="CN728" s="1272"/>
      <c r="CO728" s="3"/>
      <c r="CP728" s="1267">
        <f t="shared" si="20"/>
        <v>0</v>
      </c>
      <c r="CQ728" s="1268"/>
      <c r="CR728" s="1268"/>
      <c r="CS728" s="1268"/>
      <c r="CT728" s="1269"/>
      <c r="CU728" s="1289">
        <f t="shared" si="21"/>
        <v>14</v>
      </c>
      <c r="CV728" s="1289"/>
      <c r="CW728" s="1289"/>
      <c r="CX728" s="1289"/>
      <c r="CY728" s="1289"/>
      <c r="CZ728" s="1289">
        <f t="shared" si="22"/>
        <v>0</v>
      </c>
      <c r="DA728" s="1289"/>
      <c r="DB728" s="1289"/>
      <c r="DC728" s="1289"/>
      <c r="DD728" s="1289"/>
      <c r="DE728" s="1289">
        <f t="shared" si="23"/>
        <v>0</v>
      </c>
      <c r="DF728" s="1289"/>
      <c r="DG728" s="1289"/>
      <c r="DH728" s="1289"/>
      <c r="DI728" s="1289"/>
      <c r="DJ728" s="1289">
        <f t="shared" si="24"/>
        <v>0</v>
      </c>
      <c r="DK728" s="1289"/>
      <c r="DL728" s="1289"/>
      <c r="DM728" s="1289"/>
      <c r="DN728" s="1289"/>
      <c r="DO728" s="1289">
        <f t="shared" si="25"/>
        <v>0</v>
      </c>
      <c r="DP728" s="1289"/>
      <c r="DQ728" s="1289"/>
      <c r="DR728" s="1289"/>
      <c r="DS728" s="1289"/>
      <c r="DT728" s="6"/>
      <c r="DU728" s="1293">
        <f t="shared" si="26"/>
        <v>0</v>
      </c>
      <c r="DV728" s="1293"/>
      <c r="DW728" s="1293"/>
      <c r="DX728" s="1293"/>
      <c r="DY728" s="1293"/>
      <c r="DZ728" s="1293">
        <f t="shared" si="27"/>
        <v>0</v>
      </c>
      <c r="EA728" s="1293"/>
      <c r="EB728" s="1293"/>
      <c r="EC728" s="1293"/>
      <c r="ED728" s="1293"/>
      <c r="EE728" s="1293">
        <f t="shared" si="28"/>
        <v>0</v>
      </c>
      <c r="EF728" s="1293"/>
      <c r="EG728" s="1293"/>
      <c r="EH728" s="1293"/>
      <c r="EI728" s="1293"/>
      <c r="EJ728" s="1293">
        <f t="shared" si="29"/>
        <v>0</v>
      </c>
      <c r="EK728" s="1293"/>
      <c r="EL728" s="1293"/>
      <c r="EM728" s="1293"/>
      <c r="EN728" s="1293"/>
      <c r="EO728" s="1293">
        <f t="shared" si="30"/>
        <v>0</v>
      </c>
      <c r="EP728" s="1293"/>
      <c r="EQ728" s="1293"/>
      <c r="ER728" s="1293"/>
      <c r="ES728" s="1293"/>
      <c r="ET728" s="1293">
        <f t="shared" si="31"/>
        <v>0</v>
      </c>
      <c r="EU728" s="1293"/>
      <c r="EV728" s="1293"/>
      <c r="EW728" s="1293"/>
      <c r="EX728" s="1293"/>
      <c r="EZ728" s="1275" t="str">
        <f t="shared" si="32"/>
        <v/>
      </c>
      <c r="FA728" s="1288"/>
      <c r="FB728" s="1288"/>
      <c r="FC728" s="1288"/>
      <c r="FD728" s="1276"/>
      <c r="FE728" s="1275">
        <f t="shared" si="33"/>
        <v>1232</v>
      </c>
      <c r="FF728" s="1288"/>
      <c r="FG728" s="1288"/>
      <c r="FH728" s="1288"/>
      <c r="FI728" s="1276"/>
      <c r="FJ728" s="1275" t="str">
        <f t="shared" si="34"/>
        <v/>
      </c>
      <c r="FK728" s="1288"/>
      <c r="FL728" s="1288"/>
      <c r="FM728" s="1288"/>
      <c r="FN728" s="1276"/>
      <c r="FO728" s="1275" t="str">
        <f t="shared" si="35"/>
        <v/>
      </c>
      <c r="FP728" s="1288"/>
      <c r="FQ728" s="1288"/>
      <c r="FR728" s="1288"/>
      <c r="FS728" s="1276"/>
      <c r="FT728" s="1275" t="str">
        <f t="shared" si="36"/>
        <v/>
      </c>
      <c r="FU728" s="1288"/>
      <c r="FV728" s="1288"/>
      <c r="FW728" s="1288"/>
      <c r="FX728" s="1276"/>
      <c r="FY728" s="1275" t="str">
        <f t="shared" si="37"/>
        <v/>
      </c>
      <c r="FZ728" s="1288"/>
      <c r="GA728" s="1288"/>
      <c r="GB728" s="1288"/>
      <c r="GC728" s="1276"/>
    </row>
    <row r="729" spans="1:185" ht="12.95" customHeight="1">
      <c r="B729" s="1290" t="s">
        <v>163</v>
      </c>
      <c r="C729" s="1291"/>
      <c r="D729" s="1291"/>
      <c r="E729" s="1291"/>
      <c r="F729" s="1292"/>
      <c r="G729" s="1513">
        <v>2</v>
      </c>
      <c r="H729" s="1514"/>
      <c r="I729" s="1514"/>
      <c r="J729" s="1515"/>
      <c r="K729" s="1520">
        <v>854</v>
      </c>
      <c r="L729" s="1521"/>
      <c r="M729" s="1521"/>
      <c r="N729" s="1522"/>
      <c r="O729" s="1406">
        <f>755-T729</f>
        <v>720</v>
      </c>
      <c r="P729" s="1407"/>
      <c r="Q729" s="1407"/>
      <c r="R729" s="1407"/>
      <c r="S729" s="1408"/>
      <c r="T729" s="1406">
        <v>35</v>
      </c>
      <c r="U729" s="1407"/>
      <c r="V729" s="1407"/>
      <c r="W729" s="1408"/>
      <c r="X729" s="1329">
        <f t="shared" si="10"/>
        <v>755</v>
      </c>
      <c r="Y729" s="1330"/>
      <c r="Z729" s="1330"/>
      <c r="AA729" s="1330"/>
      <c r="AB729" s="1331"/>
      <c r="AC729" s="1517">
        <v>0.3</v>
      </c>
      <c r="AD729" s="1518"/>
      <c r="AE729" s="1518"/>
      <c r="AF729" s="1518"/>
      <c r="AG729" s="1519"/>
      <c r="AH729" s="1311">
        <f t="shared" si="38"/>
        <v>0.30007949125596184</v>
      </c>
      <c r="AI729" s="1312"/>
      <c r="AJ729" s="1313"/>
      <c r="AK729" s="1290" t="s">
        <v>589</v>
      </c>
      <c r="AL729" s="1291"/>
      <c r="AM729" s="1291"/>
      <c r="AN729" s="1291"/>
      <c r="AO729" s="1292"/>
      <c r="AP729" s="3"/>
      <c r="AQ729" s="3"/>
      <c r="AR729" s="3"/>
      <c r="AS729" s="3"/>
      <c r="AY729" s="116"/>
      <c r="AZ729" s="118">
        <f t="shared" si="11"/>
        <v>2516</v>
      </c>
      <c r="BA729" s="3"/>
      <c r="BB729" s="3"/>
      <c r="BC729" s="3"/>
      <c r="BD729" s="3"/>
      <c r="BE729" s="204"/>
      <c r="BF729" s="294">
        <f t="shared" si="12"/>
        <v>2</v>
      </c>
      <c r="BG729" s="297">
        <f t="shared" si="13"/>
        <v>8.4388185654008432E-3</v>
      </c>
      <c r="BH729" s="298">
        <f t="shared" si="14"/>
        <v>2.5316455696202528E-3</v>
      </c>
      <c r="BI729" s="3"/>
      <c r="BJ729" s="3"/>
      <c r="BK729" s="3"/>
      <c r="BL729" s="3"/>
      <c r="BM729" s="3"/>
      <c r="BN729" s="3"/>
      <c r="BS729" s="294">
        <f t="shared" si="15"/>
        <v>2</v>
      </c>
      <c r="BT729" s="297">
        <f t="shared" si="16"/>
        <v>8.4388185654008432E-3</v>
      </c>
      <c r="BU729" s="298">
        <f t="shared" si="17"/>
        <v>2.5323163819068509E-3</v>
      </c>
      <c r="CC729" s="3"/>
      <c r="CD729" s="3"/>
      <c r="CE729" s="3"/>
      <c r="CF729" s="3"/>
      <c r="CG729" s="1275">
        <f t="shared" si="39"/>
        <v>0</v>
      </c>
      <c r="CH729" s="1276"/>
      <c r="CI729" s="1270">
        <f t="shared" si="40"/>
        <v>0</v>
      </c>
      <c r="CJ729" s="1272"/>
      <c r="CK729" s="1275">
        <f t="shared" si="18"/>
        <v>1</v>
      </c>
      <c r="CL729" s="1276"/>
      <c r="CM729" s="1270">
        <f t="shared" si="19"/>
        <v>2</v>
      </c>
      <c r="CN729" s="1272"/>
      <c r="CO729" s="3"/>
      <c r="CP729" s="1267">
        <f t="shared" si="20"/>
        <v>0</v>
      </c>
      <c r="CQ729" s="1268"/>
      <c r="CR729" s="1268"/>
      <c r="CS729" s="1268"/>
      <c r="CT729" s="1269"/>
      <c r="CU729" s="1289">
        <f t="shared" si="21"/>
        <v>0</v>
      </c>
      <c r="CV729" s="1289"/>
      <c r="CW729" s="1289"/>
      <c r="CX729" s="1289"/>
      <c r="CY729" s="1289"/>
      <c r="CZ729" s="1289">
        <f t="shared" si="22"/>
        <v>2</v>
      </c>
      <c r="DA729" s="1289"/>
      <c r="DB729" s="1289"/>
      <c r="DC729" s="1289"/>
      <c r="DD729" s="1289"/>
      <c r="DE729" s="1289">
        <f t="shared" si="23"/>
        <v>0</v>
      </c>
      <c r="DF729" s="1289"/>
      <c r="DG729" s="1289"/>
      <c r="DH729" s="1289"/>
      <c r="DI729" s="1289"/>
      <c r="DJ729" s="1289">
        <f t="shared" si="24"/>
        <v>0</v>
      </c>
      <c r="DK729" s="1289"/>
      <c r="DL729" s="1289"/>
      <c r="DM729" s="1289"/>
      <c r="DN729" s="1289"/>
      <c r="DO729" s="1289">
        <f t="shared" si="25"/>
        <v>0</v>
      </c>
      <c r="DP729" s="1289"/>
      <c r="DQ729" s="1289"/>
      <c r="DR729" s="1289"/>
      <c r="DS729" s="1289"/>
      <c r="DT729" s="6"/>
      <c r="DU729" s="1293">
        <f t="shared" si="26"/>
        <v>0</v>
      </c>
      <c r="DV729" s="1293"/>
      <c r="DW729" s="1293"/>
      <c r="DX729" s="1293"/>
      <c r="DY729" s="1293"/>
      <c r="DZ729" s="1293">
        <f t="shared" si="27"/>
        <v>0</v>
      </c>
      <c r="EA729" s="1293"/>
      <c r="EB729" s="1293"/>
      <c r="EC729" s="1293"/>
      <c r="ED729" s="1293"/>
      <c r="EE729" s="1293">
        <f t="shared" si="28"/>
        <v>2</v>
      </c>
      <c r="EF729" s="1293"/>
      <c r="EG729" s="1293"/>
      <c r="EH729" s="1293"/>
      <c r="EI729" s="1293"/>
      <c r="EJ729" s="1293">
        <f t="shared" si="29"/>
        <v>0</v>
      </c>
      <c r="EK729" s="1293"/>
      <c r="EL729" s="1293"/>
      <c r="EM729" s="1293"/>
      <c r="EN729" s="1293"/>
      <c r="EO729" s="1293">
        <f t="shared" si="30"/>
        <v>0</v>
      </c>
      <c r="EP729" s="1293"/>
      <c r="EQ729" s="1293"/>
      <c r="ER729" s="1293"/>
      <c r="ES729" s="1293"/>
      <c r="ET729" s="1293">
        <f t="shared" si="31"/>
        <v>0</v>
      </c>
      <c r="EU729" s="1293"/>
      <c r="EV729" s="1293"/>
      <c r="EW729" s="1293"/>
      <c r="EX729" s="1293"/>
      <c r="EZ729" s="1275" t="str">
        <f t="shared" si="32"/>
        <v/>
      </c>
      <c r="FA729" s="1288"/>
      <c r="FB729" s="1288"/>
      <c r="FC729" s="1288"/>
      <c r="FD729" s="1276"/>
      <c r="FE729" s="1275" t="str">
        <f t="shared" si="33"/>
        <v/>
      </c>
      <c r="FF729" s="1288"/>
      <c r="FG729" s="1288"/>
      <c r="FH729" s="1288"/>
      <c r="FI729" s="1276"/>
      <c r="FJ729" s="1275">
        <f t="shared" si="34"/>
        <v>720</v>
      </c>
      <c r="FK729" s="1288"/>
      <c r="FL729" s="1288"/>
      <c r="FM729" s="1288"/>
      <c r="FN729" s="1276"/>
      <c r="FO729" s="1275" t="str">
        <f t="shared" si="35"/>
        <v/>
      </c>
      <c r="FP729" s="1288"/>
      <c r="FQ729" s="1288"/>
      <c r="FR729" s="1288"/>
      <c r="FS729" s="1276"/>
      <c r="FT729" s="1275" t="str">
        <f t="shared" si="36"/>
        <v/>
      </c>
      <c r="FU729" s="1288"/>
      <c r="FV729" s="1288"/>
      <c r="FW729" s="1288"/>
      <c r="FX729" s="1276"/>
      <c r="FY729" s="1275" t="str">
        <f t="shared" si="37"/>
        <v/>
      </c>
      <c r="FZ729" s="1288"/>
      <c r="GA729" s="1288"/>
      <c r="GB729" s="1288"/>
      <c r="GC729" s="1276"/>
    </row>
    <row r="730" spans="1:185" ht="12.95" customHeight="1">
      <c r="B730" s="1290" t="s">
        <v>163</v>
      </c>
      <c r="C730" s="1291"/>
      <c r="D730" s="1291"/>
      <c r="E730" s="1291"/>
      <c r="F730" s="1292"/>
      <c r="G730" s="1513">
        <v>8</v>
      </c>
      <c r="H730" s="1514"/>
      <c r="I730" s="1514"/>
      <c r="J730" s="1515"/>
      <c r="K730" s="1520">
        <v>854</v>
      </c>
      <c r="L730" s="1521"/>
      <c r="M730" s="1521"/>
      <c r="N730" s="1522"/>
      <c r="O730" s="1406">
        <f>1258-T730</f>
        <v>1223</v>
      </c>
      <c r="P730" s="1407"/>
      <c r="Q730" s="1407"/>
      <c r="R730" s="1407"/>
      <c r="S730" s="1408"/>
      <c r="T730" s="1406">
        <v>35</v>
      </c>
      <c r="U730" s="1407"/>
      <c r="V730" s="1407"/>
      <c r="W730" s="1408"/>
      <c r="X730" s="1329">
        <f t="shared" si="10"/>
        <v>1258</v>
      </c>
      <c r="Y730" s="1330"/>
      <c r="Z730" s="1330"/>
      <c r="AA730" s="1330"/>
      <c r="AB730" s="1331"/>
      <c r="AC730" s="1517">
        <v>0.5</v>
      </c>
      <c r="AD730" s="1518"/>
      <c r="AE730" s="1518"/>
      <c r="AF730" s="1518"/>
      <c r="AG730" s="1519"/>
      <c r="AH730" s="1311">
        <f t="shared" si="38"/>
        <v>0.5</v>
      </c>
      <c r="AI730" s="1312"/>
      <c r="AJ730" s="1313"/>
      <c r="AK730" s="1290" t="s">
        <v>589</v>
      </c>
      <c r="AL730" s="1291"/>
      <c r="AM730" s="1291"/>
      <c r="AN730" s="1291"/>
      <c r="AO730" s="1292"/>
      <c r="AP730" s="3"/>
      <c r="AQ730" s="3"/>
      <c r="AR730" s="3"/>
      <c r="AS730" s="3"/>
      <c r="AY730" s="116"/>
      <c r="AZ730" s="118">
        <f t="shared" si="11"/>
        <v>2516</v>
      </c>
      <c r="BA730" s="3"/>
      <c r="BB730" s="3"/>
      <c r="BC730" s="3"/>
      <c r="BD730" s="3"/>
      <c r="BE730" s="204"/>
      <c r="BF730" s="294">
        <f t="shared" si="12"/>
        <v>8</v>
      </c>
      <c r="BG730" s="297">
        <f t="shared" si="13"/>
        <v>3.3755274261603373E-2</v>
      </c>
      <c r="BH730" s="298">
        <f t="shared" si="14"/>
        <v>1.6877637130801686E-2</v>
      </c>
      <c r="BI730" s="3"/>
      <c r="BJ730" s="3"/>
      <c r="BK730" s="3"/>
      <c r="BL730" s="3"/>
      <c r="BM730" s="3"/>
      <c r="BN730" s="3"/>
      <c r="BS730" s="294">
        <f t="shared" si="15"/>
        <v>8</v>
      </c>
      <c r="BT730" s="297">
        <f t="shared" si="16"/>
        <v>3.3755274261603373E-2</v>
      </c>
      <c r="BU730" s="298">
        <f t="shared" si="17"/>
        <v>1.6877637130801686E-2</v>
      </c>
      <c r="CC730" s="3"/>
      <c r="CD730" s="3"/>
      <c r="CE730" s="3"/>
      <c r="CF730" s="3"/>
      <c r="CG730" s="1275">
        <f t="shared" si="39"/>
        <v>1</v>
      </c>
      <c r="CH730" s="1276"/>
      <c r="CI730" s="1270">
        <f t="shared" si="40"/>
        <v>8</v>
      </c>
      <c r="CJ730" s="1272"/>
      <c r="CK730" s="1275">
        <f t="shared" si="18"/>
        <v>0</v>
      </c>
      <c r="CL730" s="1276"/>
      <c r="CM730" s="1270">
        <f t="shared" si="19"/>
        <v>0</v>
      </c>
      <c r="CN730" s="1272"/>
      <c r="CO730" s="3"/>
      <c r="CP730" s="1267">
        <f t="shared" si="20"/>
        <v>0</v>
      </c>
      <c r="CQ730" s="1268"/>
      <c r="CR730" s="1268"/>
      <c r="CS730" s="1268"/>
      <c r="CT730" s="1269"/>
      <c r="CU730" s="1289">
        <f t="shared" si="21"/>
        <v>0</v>
      </c>
      <c r="CV730" s="1289"/>
      <c r="CW730" s="1289"/>
      <c r="CX730" s="1289"/>
      <c r="CY730" s="1289"/>
      <c r="CZ730" s="1289">
        <f t="shared" si="22"/>
        <v>8</v>
      </c>
      <c r="DA730" s="1289"/>
      <c r="DB730" s="1289"/>
      <c r="DC730" s="1289"/>
      <c r="DD730" s="1289"/>
      <c r="DE730" s="1289">
        <f t="shared" si="23"/>
        <v>0</v>
      </c>
      <c r="DF730" s="1289"/>
      <c r="DG730" s="1289"/>
      <c r="DH730" s="1289"/>
      <c r="DI730" s="1289"/>
      <c r="DJ730" s="1289">
        <f t="shared" si="24"/>
        <v>0</v>
      </c>
      <c r="DK730" s="1289"/>
      <c r="DL730" s="1289"/>
      <c r="DM730" s="1289"/>
      <c r="DN730" s="1289"/>
      <c r="DO730" s="1289">
        <f t="shared" si="25"/>
        <v>0</v>
      </c>
      <c r="DP730" s="1289"/>
      <c r="DQ730" s="1289"/>
      <c r="DR730" s="1289"/>
      <c r="DS730" s="1289"/>
      <c r="DT730" s="6"/>
      <c r="DU730" s="1293">
        <f t="shared" si="26"/>
        <v>0</v>
      </c>
      <c r="DV730" s="1293"/>
      <c r="DW730" s="1293"/>
      <c r="DX730" s="1293"/>
      <c r="DY730" s="1293"/>
      <c r="DZ730" s="1293">
        <f t="shared" si="27"/>
        <v>0</v>
      </c>
      <c r="EA730" s="1293"/>
      <c r="EB730" s="1293"/>
      <c r="EC730" s="1293"/>
      <c r="ED730" s="1293"/>
      <c r="EE730" s="1293">
        <f t="shared" si="28"/>
        <v>0</v>
      </c>
      <c r="EF730" s="1293"/>
      <c r="EG730" s="1293"/>
      <c r="EH730" s="1293"/>
      <c r="EI730" s="1293"/>
      <c r="EJ730" s="1293">
        <f t="shared" si="29"/>
        <v>0</v>
      </c>
      <c r="EK730" s="1293"/>
      <c r="EL730" s="1293"/>
      <c r="EM730" s="1293"/>
      <c r="EN730" s="1293"/>
      <c r="EO730" s="1293">
        <f t="shared" si="30"/>
        <v>0</v>
      </c>
      <c r="EP730" s="1293"/>
      <c r="EQ730" s="1293"/>
      <c r="ER730" s="1293"/>
      <c r="ES730" s="1293"/>
      <c r="ET730" s="1293">
        <f t="shared" si="31"/>
        <v>0</v>
      </c>
      <c r="EU730" s="1293"/>
      <c r="EV730" s="1293"/>
      <c r="EW730" s="1293"/>
      <c r="EX730" s="1293"/>
      <c r="EZ730" s="1275" t="str">
        <f t="shared" si="32"/>
        <v/>
      </c>
      <c r="FA730" s="1288"/>
      <c r="FB730" s="1288"/>
      <c r="FC730" s="1288"/>
      <c r="FD730" s="1276"/>
      <c r="FE730" s="1275" t="str">
        <f t="shared" si="33"/>
        <v/>
      </c>
      <c r="FF730" s="1288"/>
      <c r="FG730" s="1288"/>
      <c r="FH730" s="1288"/>
      <c r="FI730" s="1276"/>
      <c r="FJ730" s="1275">
        <f t="shared" si="34"/>
        <v>1223</v>
      </c>
      <c r="FK730" s="1288"/>
      <c r="FL730" s="1288"/>
      <c r="FM730" s="1288"/>
      <c r="FN730" s="1276"/>
      <c r="FO730" s="1275" t="str">
        <f t="shared" si="35"/>
        <v/>
      </c>
      <c r="FP730" s="1288"/>
      <c r="FQ730" s="1288"/>
      <c r="FR730" s="1288"/>
      <c r="FS730" s="1276"/>
      <c r="FT730" s="1275" t="str">
        <f t="shared" si="36"/>
        <v/>
      </c>
      <c r="FU730" s="1288"/>
      <c r="FV730" s="1288"/>
      <c r="FW730" s="1288"/>
      <c r="FX730" s="1276"/>
      <c r="FY730" s="1275" t="str">
        <f t="shared" si="37"/>
        <v/>
      </c>
      <c r="FZ730" s="1288"/>
      <c r="GA730" s="1288"/>
      <c r="GB730" s="1288"/>
      <c r="GC730" s="1276"/>
    </row>
    <row r="731" spans="1:185" ht="12.95" customHeight="1">
      <c r="B731" s="1290" t="s">
        <v>163</v>
      </c>
      <c r="C731" s="1291"/>
      <c r="D731" s="1291"/>
      <c r="E731" s="1291"/>
      <c r="F731" s="1292"/>
      <c r="G731" s="1513">
        <v>65</v>
      </c>
      <c r="H731" s="1514"/>
      <c r="I731" s="1514"/>
      <c r="J731" s="1515"/>
      <c r="K731" s="1520">
        <v>854</v>
      </c>
      <c r="L731" s="1521"/>
      <c r="M731" s="1521"/>
      <c r="N731" s="1522"/>
      <c r="O731" s="1406">
        <f>1510-T731</f>
        <v>1475</v>
      </c>
      <c r="P731" s="1407"/>
      <c r="Q731" s="1407"/>
      <c r="R731" s="1407"/>
      <c r="S731" s="1408"/>
      <c r="T731" s="1406">
        <v>35</v>
      </c>
      <c r="U731" s="1407"/>
      <c r="V731" s="1407"/>
      <c r="W731" s="1408"/>
      <c r="X731" s="1329">
        <f t="shared" si="10"/>
        <v>1510</v>
      </c>
      <c r="Y731" s="1330"/>
      <c r="Z731" s="1330"/>
      <c r="AA731" s="1330"/>
      <c r="AB731" s="1331"/>
      <c r="AC731" s="1517">
        <v>0.6</v>
      </c>
      <c r="AD731" s="1518"/>
      <c r="AE731" s="1518"/>
      <c r="AF731" s="1518"/>
      <c r="AG731" s="1519"/>
      <c r="AH731" s="1311">
        <f t="shared" si="38"/>
        <v>0.60015898251192368</v>
      </c>
      <c r="AI731" s="1312"/>
      <c r="AJ731" s="1313"/>
      <c r="AK731" s="1290" t="s">
        <v>589</v>
      </c>
      <c r="AL731" s="1291"/>
      <c r="AM731" s="1291"/>
      <c r="AN731" s="1291"/>
      <c r="AO731" s="1292"/>
      <c r="AP731" s="3"/>
      <c r="AQ731" s="3"/>
      <c r="AR731" s="3"/>
      <c r="AS731" s="3"/>
      <c r="AY731" s="116"/>
      <c r="AZ731" s="118">
        <f t="shared" si="11"/>
        <v>2516</v>
      </c>
      <c r="BA731" s="3"/>
      <c r="BB731" s="3"/>
      <c r="BC731" s="3"/>
      <c r="BD731" s="3"/>
      <c r="BE731" s="204"/>
      <c r="BF731" s="294">
        <f t="shared" si="12"/>
        <v>65</v>
      </c>
      <c r="BG731" s="297">
        <f t="shared" si="13"/>
        <v>0.27426160337552741</v>
      </c>
      <c r="BH731" s="298">
        <f t="shared" si="14"/>
        <v>0.16455696202531644</v>
      </c>
      <c r="BI731" s="3"/>
      <c r="BJ731" s="3"/>
      <c r="BK731" s="3"/>
      <c r="BL731" s="3"/>
      <c r="BM731" s="3"/>
      <c r="BN731" s="3"/>
      <c r="BS731" s="294">
        <f t="shared" si="15"/>
        <v>65</v>
      </c>
      <c r="BT731" s="297">
        <f t="shared" si="16"/>
        <v>0.27426160337552741</v>
      </c>
      <c r="BU731" s="298">
        <f t="shared" si="17"/>
        <v>0.16460056482394531</v>
      </c>
      <c r="CC731" s="3"/>
      <c r="CD731" s="3"/>
      <c r="CE731" s="3"/>
      <c r="CF731" s="3"/>
      <c r="CG731" s="1275">
        <f t="shared" si="39"/>
        <v>0</v>
      </c>
      <c r="CH731" s="1276"/>
      <c r="CI731" s="1270">
        <f t="shared" si="40"/>
        <v>0</v>
      </c>
      <c r="CJ731" s="1272"/>
      <c r="CK731" s="1275">
        <f t="shared" si="18"/>
        <v>0</v>
      </c>
      <c r="CL731" s="1276"/>
      <c r="CM731" s="1270">
        <f t="shared" si="19"/>
        <v>0</v>
      </c>
      <c r="CN731" s="1272"/>
      <c r="CO731" s="3"/>
      <c r="CP731" s="1267">
        <f t="shared" si="20"/>
        <v>0</v>
      </c>
      <c r="CQ731" s="1268"/>
      <c r="CR731" s="1268"/>
      <c r="CS731" s="1268"/>
      <c r="CT731" s="1269"/>
      <c r="CU731" s="1289">
        <f t="shared" si="21"/>
        <v>0</v>
      </c>
      <c r="CV731" s="1289"/>
      <c r="CW731" s="1289"/>
      <c r="CX731" s="1289"/>
      <c r="CY731" s="1289"/>
      <c r="CZ731" s="1289">
        <f t="shared" si="22"/>
        <v>65</v>
      </c>
      <c r="DA731" s="1289"/>
      <c r="DB731" s="1289"/>
      <c r="DC731" s="1289"/>
      <c r="DD731" s="1289"/>
      <c r="DE731" s="1289">
        <f t="shared" si="23"/>
        <v>0</v>
      </c>
      <c r="DF731" s="1289"/>
      <c r="DG731" s="1289"/>
      <c r="DH731" s="1289"/>
      <c r="DI731" s="1289"/>
      <c r="DJ731" s="1289">
        <f t="shared" si="24"/>
        <v>0</v>
      </c>
      <c r="DK731" s="1289"/>
      <c r="DL731" s="1289"/>
      <c r="DM731" s="1289"/>
      <c r="DN731" s="1289"/>
      <c r="DO731" s="1289">
        <f t="shared" si="25"/>
        <v>0</v>
      </c>
      <c r="DP731" s="1289"/>
      <c r="DQ731" s="1289"/>
      <c r="DR731" s="1289"/>
      <c r="DS731" s="1289"/>
      <c r="DT731" s="6"/>
      <c r="DU731" s="1293">
        <f t="shared" si="26"/>
        <v>0</v>
      </c>
      <c r="DV731" s="1293"/>
      <c r="DW731" s="1293"/>
      <c r="DX731" s="1293"/>
      <c r="DY731" s="1293"/>
      <c r="DZ731" s="1293">
        <f t="shared" si="27"/>
        <v>0</v>
      </c>
      <c r="EA731" s="1293"/>
      <c r="EB731" s="1293"/>
      <c r="EC731" s="1293"/>
      <c r="ED731" s="1293"/>
      <c r="EE731" s="1293">
        <f t="shared" si="28"/>
        <v>0</v>
      </c>
      <c r="EF731" s="1293"/>
      <c r="EG731" s="1293"/>
      <c r="EH731" s="1293"/>
      <c r="EI731" s="1293"/>
      <c r="EJ731" s="1293">
        <f t="shared" si="29"/>
        <v>0</v>
      </c>
      <c r="EK731" s="1293"/>
      <c r="EL731" s="1293"/>
      <c r="EM731" s="1293"/>
      <c r="EN731" s="1293"/>
      <c r="EO731" s="1293">
        <f t="shared" si="30"/>
        <v>0</v>
      </c>
      <c r="EP731" s="1293"/>
      <c r="EQ731" s="1293"/>
      <c r="ER731" s="1293"/>
      <c r="ES731" s="1293"/>
      <c r="ET731" s="1293">
        <f t="shared" si="31"/>
        <v>0</v>
      </c>
      <c r="EU731" s="1293"/>
      <c r="EV731" s="1293"/>
      <c r="EW731" s="1293"/>
      <c r="EX731" s="1293"/>
      <c r="EZ731" s="1275" t="str">
        <f t="shared" si="32"/>
        <v/>
      </c>
      <c r="FA731" s="1288"/>
      <c r="FB731" s="1288"/>
      <c r="FC731" s="1288"/>
      <c r="FD731" s="1276"/>
      <c r="FE731" s="1275" t="str">
        <f t="shared" si="33"/>
        <v/>
      </c>
      <c r="FF731" s="1288"/>
      <c r="FG731" s="1288"/>
      <c r="FH731" s="1288"/>
      <c r="FI731" s="1276"/>
      <c r="FJ731" s="1275">
        <f t="shared" si="34"/>
        <v>1475</v>
      </c>
      <c r="FK731" s="1288"/>
      <c r="FL731" s="1288"/>
      <c r="FM731" s="1288"/>
      <c r="FN731" s="1276"/>
      <c r="FO731" s="1275" t="str">
        <f t="shared" si="35"/>
        <v/>
      </c>
      <c r="FP731" s="1288"/>
      <c r="FQ731" s="1288"/>
      <c r="FR731" s="1288"/>
      <c r="FS731" s="1276"/>
      <c r="FT731" s="1275" t="str">
        <f t="shared" si="36"/>
        <v/>
      </c>
      <c r="FU731" s="1288"/>
      <c r="FV731" s="1288"/>
      <c r="FW731" s="1288"/>
      <c r="FX731" s="1276"/>
      <c r="FY731" s="1275" t="str">
        <f t="shared" si="37"/>
        <v/>
      </c>
      <c r="FZ731" s="1288"/>
      <c r="GA731" s="1288"/>
      <c r="GB731" s="1288"/>
      <c r="GC731" s="1276"/>
    </row>
    <row r="732" spans="1:185" ht="12.95" customHeight="1">
      <c r="B732" s="1290" t="s">
        <v>163</v>
      </c>
      <c r="C732" s="1291"/>
      <c r="D732" s="1291"/>
      <c r="E732" s="1291"/>
      <c r="F732" s="1292"/>
      <c r="G732" s="1513">
        <v>8</v>
      </c>
      <c r="H732" s="1514"/>
      <c r="I732" s="1514"/>
      <c r="J732" s="1515"/>
      <c r="K732" s="1520">
        <v>854</v>
      </c>
      <c r="L732" s="1521"/>
      <c r="M732" s="1521"/>
      <c r="N732" s="1522"/>
      <c r="O732" s="1406">
        <f>1762-T732</f>
        <v>1727</v>
      </c>
      <c r="P732" s="1407"/>
      <c r="Q732" s="1407"/>
      <c r="R732" s="1407"/>
      <c r="S732" s="1408"/>
      <c r="T732" s="1406">
        <v>35</v>
      </c>
      <c r="U732" s="1407"/>
      <c r="V732" s="1407"/>
      <c r="W732" s="1408"/>
      <c r="X732" s="1329">
        <f t="shared" si="10"/>
        <v>1762</v>
      </c>
      <c r="Y732" s="1330"/>
      <c r="Z732" s="1330"/>
      <c r="AA732" s="1330"/>
      <c r="AB732" s="1331"/>
      <c r="AC732" s="1517">
        <v>0.7</v>
      </c>
      <c r="AD732" s="1518"/>
      <c r="AE732" s="1518"/>
      <c r="AF732" s="1518"/>
      <c r="AG732" s="1519"/>
      <c r="AH732" s="1311">
        <f t="shared" si="38"/>
        <v>0.70031796502384736</v>
      </c>
      <c r="AI732" s="1312"/>
      <c r="AJ732" s="1313"/>
      <c r="AK732" s="1290" t="s">
        <v>589</v>
      </c>
      <c r="AL732" s="1291"/>
      <c r="AM732" s="1291"/>
      <c r="AN732" s="1291"/>
      <c r="AO732" s="1292"/>
      <c r="AP732" s="3"/>
      <c r="AQ732" s="3"/>
      <c r="AR732" s="3"/>
      <c r="AS732" s="3"/>
      <c r="AY732" s="116"/>
      <c r="AZ732" s="118">
        <f t="shared" si="11"/>
        <v>2516</v>
      </c>
      <c r="BA732" s="3"/>
      <c r="BB732" s="3"/>
      <c r="BC732" s="3"/>
      <c r="BD732" s="3"/>
      <c r="BE732" s="204"/>
      <c r="BF732" s="294">
        <f t="shared" si="12"/>
        <v>8</v>
      </c>
      <c r="BG732" s="297">
        <f t="shared" si="13"/>
        <v>3.3755274261603373E-2</v>
      </c>
      <c r="BH732" s="298">
        <f t="shared" si="14"/>
        <v>2.3628691983122358E-2</v>
      </c>
      <c r="BI732" s="3"/>
      <c r="BJ732" s="3"/>
      <c r="BK732" s="3"/>
      <c r="BL732" s="3"/>
      <c r="BM732" s="3"/>
      <c r="BN732" s="3"/>
      <c r="BS732" s="294">
        <f t="shared" si="15"/>
        <v>8</v>
      </c>
      <c r="BT732" s="297">
        <f t="shared" si="16"/>
        <v>3.3755274261603373E-2</v>
      </c>
      <c r="BU732" s="298">
        <f t="shared" si="17"/>
        <v>2.3639424979707925E-2</v>
      </c>
      <c r="CC732" s="3"/>
      <c r="CE732" s="3"/>
      <c r="CF732" s="3"/>
      <c r="CG732" s="1275">
        <f t="shared" si="39"/>
        <v>0</v>
      </c>
      <c r="CH732" s="1276"/>
      <c r="CI732" s="1270">
        <f t="shared" si="40"/>
        <v>0</v>
      </c>
      <c r="CJ732" s="1272"/>
      <c r="CK732" s="1275">
        <f t="shared" si="18"/>
        <v>0</v>
      </c>
      <c r="CL732" s="1276"/>
      <c r="CM732" s="1270">
        <f t="shared" si="19"/>
        <v>0</v>
      </c>
      <c r="CN732" s="1272"/>
      <c r="CO732" s="3"/>
      <c r="CP732" s="1267">
        <f t="shared" si="20"/>
        <v>0</v>
      </c>
      <c r="CQ732" s="1268"/>
      <c r="CR732" s="1268"/>
      <c r="CS732" s="1268"/>
      <c r="CT732" s="1269"/>
      <c r="CU732" s="1289">
        <f t="shared" si="21"/>
        <v>0</v>
      </c>
      <c r="CV732" s="1289"/>
      <c r="CW732" s="1289"/>
      <c r="CX732" s="1289"/>
      <c r="CY732" s="1289"/>
      <c r="CZ732" s="1289">
        <f t="shared" si="22"/>
        <v>8</v>
      </c>
      <c r="DA732" s="1289"/>
      <c r="DB732" s="1289"/>
      <c r="DC732" s="1289"/>
      <c r="DD732" s="1289"/>
      <c r="DE732" s="1289">
        <f t="shared" si="23"/>
        <v>0</v>
      </c>
      <c r="DF732" s="1289"/>
      <c r="DG732" s="1289"/>
      <c r="DH732" s="1289"/>
      <c r="DI732" s="1289"/>
      <c r="DJ732" s="1289">
        <f t="shared" si="24"/>
        <v>0</v>
      </c>
      <c r="DK732" s="1289"/>
      <c r="DL732" s="1289"/>
      <c r="DM732" s="1289"/>
      <c r="DN732" s="1289"/>
      <c r="DO732" s="1289">
        <f t="shared" si="25"/>
        <v>0</v>
      </c>
      <c r="DP732" s="1289"/>
      <c r="DQ732" s="1289"/>
      <c r="DR732" s="1289"/>
      <c r="DS732" s="1289"/>
      <c r="DT732" s="6"/>
      <c r="DU732" s="1293">
        <f t="shared" si="26"/>
        <v>0</v>
      </c>
      <c r="DV732" s="1293"/>
      <c r="DW732" s="1293"/>
      <c r="DX732" s="1293"/>
      <c r="DY732" s="1293"/>
      <c r="DZ732" s="1293">
        <f t="shared" si="27"/>
        <v>0</v>
      </c>
      <c r="EA732" s="1293"/>
      <c r="EB732" s="1293"/>
      <c r="EC732" s="1293"/>
      <c r="ED732" s="1293"/>
      <c r="EE732" s="1293">
        <f t="shared" si="28"/>
        <v>0</v>
      </c>
      <c r="EF732" s="1293"/>
      <c r="EG732" s="1293"/>
      <c r="EH732" s="1293"/>
      <c r="EI732" s="1293"/>
      <c r="EJ732" s="1293">
        <f t="shared" si="29"/>
        <v>0</v>
      </c>
      <c r="EK732" s="1293"/>
      <c r="EL732" s="1293"/>
      <c r="EM732" s="1293"/>
      <c r="EN732" s="1293"/>
      <c r="EO732" s="1293">
        <f t="shared" si="30"/>
        <v>0</v>
      </c>
      <c r="EP732" s="1293"/>
      <c r="EQ732" s="1293"/>
      <c r="ER732" s="1293"/>
      <c r="ES732" s="1293"/>
      <c r="ET732" s="1293">
        <f t="shared" si="31"/>
        <v>0</v>
      </c>
      <c r="EU732" s="1293"/>
      <c r="EV732" s="1293"/>
      <c r="EW732" s="1293"/>
      <c r="EX732" s="1293"/>
      <c r="EZ732" s="1275" t="str">
        <f t="shared" si="32"/>
        <v/>
      </c>
      <c r="FA732" s="1288"/>
      <c r="FB732" s="1288"/>
      <c r="FC732" s="1288"/>
      <c r="FD732" s="1276"/>
      <c r="FE732" s="1275" t="str">
        <f t="shared" si="33"/>
        <v/>
      </c>
      <c r="FF732" s="1288"/>
      <c r="FG732" s="1288"/>
      <c r="FH732" s="1288"/>
      <c r="FI732" s="1276"/>
      <c r="FJ732" s="1275">
        <f t="shared" si="34"/>
        <v>1727</v>
      </c>
      <c r="FK732" s="1288"/>
      <c r="FL732" s="1288"/>
      <c r="FM732" s="1288"/>
      <c r="FN732" s="1276"/>
      <c r="FO732" s="1275" t="str">
        <f t="shared" si="35"/>
        <v/>
      </c>
      <c r="FP732" s="1288"/>
      <c r="FQ732" s="1288"/>
      <c r="FR732" s="1288"/>
      <c r="FS732" s="1276"/>
      <c r="FT732" s="1275" t="str">
        <f t="shared" si="36"/>
        <v/>
      </c>
      <c r="FU732" s="1288"/>
      <c r="FV732" s="1288"/>
      <c r="FW732" s="1288"/>
      <c r="FX732" s="1276"/>
      <c r="FY732" s="1275" t="str">
        <f t="shared" si="37"/>
        <v/>
      </c>
      <c r="FZ732" s="1288"/>
      <c r="GA732" s="1288"/>
      <c r="GB732" s="1288"/>
      <c r="GC732" s="1276"/>
    </row>
    <row r="733" spans="1:185" ht="12.95" customHeight="1">
      <c r="B733" s="1290" t="s">
        <v>164</v>
      </c>
      <c r="C733" s="1291"/>
      <c r="D733" s="1291"/>
      <c r="E733" s="1291"/>
      <c r="F733" s="1292"/>
      <c r="G733" s="1513">
        <v>2</v>
      </c>
      <c r="H733" s="1514"/>
      <c r="I733" s="1514"/>
      <c r="J733" s="1515"/>
      <c r="K733" s="1520">
        <v>1036</v>
      </c>
      <c r="L733" s="1521"/>
      <c r="M733" s="1521"/>
      <c r="N733" s="1522"/>
      <c r="O733" s="1406">
        <f>873-T733</f>
        <v>841</v>
      </c>
      <c r="P733" s="1407"/>
      <c r="Q733" s="1407"/>
      <c r="R733" s="1407"/>
      <c r="S733" s="1408"/>
      <c r="T733" s="1406">
        <v>32</v>
      </c>
      <c r="U733" s="1407"/>
      <c r="V733" s="1407"/>
      <c r="W733" s="1408"/>
      <c r="X733" s="1329">
        <f t="shared" si="10"/>
        <v>873</v>
      </c>
      <c r="Y733" s="1330"/>
      <c r="Z733" s="1330"/>
      <c r="AA733" s="1330"/>
      <c r="AB733" s="1331"/>
      <c r="AC733" s="1517">
        <v>0.3</v>
      </c>
      <c r="AD733" s="1518"/>
      <c r="AE733" s="1518"/>
      <c r="AF733" s="1518"/>
      <c r="AG733" s="1519"/>
      <c r="AH733" s="1311">
        <f t="shared" si="38"/>
        <v>0.3</v>
      </c>
      <c r="AI733" s="1312"/>
      <c r="AJ733" s="1313"/>
      <c r="AK733" s="1290" t="s">
        <v>589</v>
      </c>
      <c r="AL733" s="1291"/>
      <c r="AM733" s="1291"/>
      <c r="AN733" s="1291"/>
      <c r="AO733" s="1292"/>
      <c r="AP733" s="3"/>
      <c r="AQ733" s="3"/>
      <c r="AR733" s="3"/>
      <c r="AS733" s="3"/>
      <c r="AY733" s="1080"/>
      <c r="AZ733" s="118">
        <f t="shared" si="11"/>
        <v>2910</v>
      </c>
      <c r="BA733" s="3"/>
      <c r="BB733" s="3"/>
      <c r="BC733" s="3"/>
      <c r="BD733" s="3"/>
      <c r="BE733" s="204"/>
      <c r="BF733" s="294">
        <f t="shared" si="12"/>
        <v>2</v>
      </c>
      <c r="BG733" s="297">
        <f t="shared" si="13"/>
        <v>8.4388185654008432E-3</v>
      </c>
      <c r="BH733" s="298">
        <f t="shared" si="14"/>
        <v>2.5316455696202528E-3</v>
      </c>
      <c r="BI733" s="3"/>
      <c r="BJ733" s="3"/>
      <c r="BK733" s="3"/>
      <c r="BL733" s="3"/>
      <c r="BM733" s="3"/>
      <c r="BN733" s="3"/>
      <c r="BS733" s="294">
        <f t="shared" si="15"/>
        <v>2</v>
      </c>
      <c r="BT733" s="297">
        <f t="shared" si="16"/>
        <v>8.4388185654008432E-3</v>
      </c>
      <c r="BU733" s="298">
        <f t="shared" si="17"/>
        <v>2.5316455696202528E-3</v>
      </c>
      <c r="BV733" s="292"/>
      <c r="BW733" s="3"/>
      <c r="BX733" s="3"/>
      <c r="BY733" s="3"/>
      <c r="BZ733" s="3"/>
      <c r="CA733" s="3"/>
      <c r="CB733" s="3"/>
      <c r="CC733" s="3"/>
      <c r="CE733" s="3"/>
      <c r="CF733" s="3"/>
      <c r="CG733" s="1275">
        <f t="shared" si="39"/>
        <v>0</v>
      </c>
      <c r="CH733" s="1276"/>
      <c r="CI733" s="1270">
        <f t="shared" si="40"/>
        <v>0</v>
      </c>
      <c r="CJ733" s="1272"/>
      <c r="CK733" s="1275">
        <f t="shared" si="18"/>
        <v>1</v>
      </c>
      <c r="CL733" s="1276"/>
      <c r="CM733" s="1270">
        <f t="shared" si="19"/>
        <v>2</v>
      </c>
      <c r="CN733" s="1272"/>
      <c r="CO733" s="3"/>
      <c r="CP733" s="1267">
        <f t="shared" si="20"/>
        <v>0</v>
      </c>
      <c r="CQ733" s="1268"/>
      <c r="CR733" s="1268"/>
      <c r="CS733" s="1268"/>
      <c r="CT733" s="1269"/>
      <c r="CU733" s="1289">
        <f t="shared" si="21"/>
        <v>0</v>
      </c>
      <c r="CV733" s="1289"/>
      <c r="CW733" s="1289"/>
      <c r="CX733" s="1289"/>
      <c r="CY733" s="1289"/>
      <c r="CZ733" s="1289">
        <f t="shared" si="22"/>
        <v>0</v>
      </c>
      <c r="DA733" s="1289"/>
      <c r="DB733" s="1289"/>
      <c r="DC733" s="1289"/>
      <c r="DD733" s="1289"/>
      <c r="DE733" s="1289">
        <f t="shared" si="23"/>
        <v>2</v>
      </c>
      <c r="DF733" s="1289"/>
      <c r="DG733" s="1289"/>
      <c r="DH733" s="1289"/>
      <c r="DI733" s="1289"/>
      <c r="DJ733" s="1289">
        <f t="shared" si="24"/>
        <v>0</v>
      </c>
      <c r="DK733" s="1289"/>
      <c r="DL733" s="1289"/>
      <c r="DM733" s="1289"/>
      <c r="DN733" s="1289"/>
      <c r="DO733" s="1289">
        <f t="shared" si="25"/>
        <v>0</v>
      </c>
      <c r="DP733" s="1289"/>
      <c r="DQ733" s="1289"/>
      <c r="DR733" s="1289"/>
      <c r="DS733" s="1289"/>
      <c r="DT733" s="6"/>
      <c r="DU733" s="1293">
        <f t="shared" si="26"/>
        <v>0</v>
      </c>
      <c r="DV733" s="1293"/>
      <c r="DW733" s="1293"/>
      <c r="DX733" s="1293"/>
      <c r="DY733" s="1293"/>
      <c r="DZ733" s="1293">
        <f t="shared" si="27"/>
        <v>0</v>
      </c>
      <c r="EA733" s="1293"/>
      <c r="EB733" s="1293"/>
      <c r="EC733" s="1293"/>
      <c r="ED733" s="1293"/>
      <c r="EE733" s="1293">
        <f t="shared" si="28"/>
        <v>0</v>
      </c>
      <c r="EF733" s="1293"/>
      <c r="EG733" s="1293"/>
      <c r="EH733" s="1293"/>
      <c r="EI733" s="1293"/>
      <c r="EJ733" s="1293">
        <f t="shared" si="29"/>
        <v>2</v>
      </c>
      <c r="EK733" s="1293"/>
      <c r="EL733" s="1293"/>
      <c r="EM733" s="1293"/>
      <c r="EN733" s="1293"/>
      <c r="EO733" s="1293">
        <f t="shared" si="30"/>
        <v>0</v>
      </c>
      <c r="EP733" s="1293"/>
      <c r="EQ733" s="1293"/>
      <c r="ER733" s="1293"/>
      <c r="ES733" s="1293"/>
      <c r="ET733" s="1293">
        <f t="shared" si="31"/>
        <v>0</v>
      </c>
      <c r="EU733" s="1293"/>
      <c r="EV733" s="1293"/>
      <c r="EW733" s="1293"/>
      <c r="EX733" s="1293"/>
      <c r="EZ733" s="1275" t="str">
        <f t="shared" si="32"/>
        <v/>
      </c>
      <c r="FA733" s="1288"/>
      <c r="FB733" s="1288"/>
      <c r="FC733" s="1288"/>
      <c r="FD733" s="1276"/>
      <c r="FE733" s="1275" t="str">
        <f t="shared" si="33"/>
        <v/>
      </c>
      <c r="FF733" s="1288"/>
      <c r="FG733" s="1288"/>
      <c r="FH733" s="1288"/>
      <c r="FI733" s="1276"/>
      <c r="FJ733" s="1275" t="str">
        <f t="shared" si="34"/>
        <v/>
      </c>
      <c r="FK733" s="1288"/>
      <c r="FL733" s="1288"/>
      <c r="FM733" s="1288"/>
      <c r="FN733" s="1276"/>
      <c r="FO733" s="1275">
        <f t="shared" si="35"/>
        <v>841</v>
      </c>
      <c r="FP733" s="1288"/>
      <c r="FQ733" s="1288"/>
      <c r="FR733" s="1288"/>
      <c r="FS733" s="1276"/>
      <c r="FT733" s="1275" t="str">
        <f t="shared" si="36"/>
        <v/>
      </c>
      <c r="FU733" s="1288"/>
      <c r="FV733" s="1288"/>
      <c r="FW733" s="1288"/>
      <c r="FX733" s="1276"/>
      <c r="FY733" s="1275" t="str">
        <f t="shared" si="37"/>
        <v/>
      </c>
      <c r="FZ733" s="1288"/>
      <c r="GA733" s="1288"/>
      <c r="GB733" s="1288"/>
      <c r="GC733" s="1276"/>
    </row>
    <row r="734" spans="1:185" ht="12.95" customHeight="1">
      <c r="B734" s="1290" t="s">
        <v>164</v>
      </c>
      <c r="C734" s="1291"/>
      <c r="D734" s="1291"/>
      <c r="E734" s="1291"/>
      <c r="F734" s="1292"/>
      <c r="G734" s="1513">
        <v>8</v>
      </c>
      <c r="H734" s="1514"/>
      <c r="I734" s="1514"/>
      <c r="J734" s="1515"/>
      <c r="K734" s="1520">
        <v>1036</v>
      </c>
      <c r="L734" s="1521"/>
      <c r="M734" s="1521"/>
      <c r="N734" s="1522"/>
      <c r="O734" s="1406">
        <f>1455-T734</f>
        <v>1423</v>
      </c>
      <c r="P734" s="1407"/>
      <c r="Q734" s="1407"/>
      <c r="R734" s="1407"/>
      <c r="S734" s="1408"/>
      <c r="T734" s="1406">
        <v>32</v>
      </c>
      <c r="U734" s="1407"/>
      <c r="V734" s="1407"/>
      <c r="W734" s="1408"/>
      <c r="X734" s="1329">
        <f t="shared" si="10"/>
        <v>1455</v>
      </c>
      <c r="Y734" s="1330"/>
      <c r="Z734" s="1330"/>
      <c r="AA734" s="1330"/>
      <c r="AB734" s="1331"/>
      <c r="AC734" s="1517">
        <v>0.5</v>
      </c>
      <c r="AD734" s="1518"/>
      <c r="AE734" s="1518"/>
      <c r="AF734" s="1518"/>
      <c r="AG734" s="1519"/>
      <c r="AH734" s="1311">
        <f t="shared" si="38"/>
        <v>0.5</v>
      </c>
      <c r="AI734" s="1312"/>
      <c r="AJ734" s="1313"/>
      <c r="AK734" s="1290" t="s">
        <v>589</v>
      </c>
      <c r="AL734" s="1291"/>
      <c r="AM734" s="1291"/>
      <c r="AN734" s="1291"/>
      <c r="AO734" s="1292"/>
      <c r="AP734" s="3"/>
      <c r="AQ734" s="3"/>
      <c r="AR734" s="3"/>
      <c r="AS734" s="3"/>
      <c r="AY734" s="1080"/>
      <c r="AZ734" s="118">
        <f t="shared" si="11"/>
        <v>2910</v>
      </c>
      <c r="BA734" s="3"/>
      <c r="BB734" s="3"/>
      <c r="BC734" s="3"/>
      <c r="BD734" s="3"/>
      <c r="BE734" s="204"/>
      <c r="BF734" s="294">
        <f t="shared" si="12"/>
        <v>8</v>
      </c>
      <c r="BG734" s="297">
        <f t="shared" si="13"/>
        <v>3.3755274261603373E-2</v>
      </c>
      <c r="BH734" s="298">
        <f t="shared" si="14"/>
        <v>1.6877637130801686E-2</v>
      </c>
      <c r="BI734" s="3"/>
      <c r="BJ734" s="3"/>
      <c r="BK734" s="3"/>
      <c r="BL734" s="3"/>
      <c r="BM734" s="3"/>
      <c r="BN734" s="3"/>
      <c r="BS734" s="294">
        <f t="shared" si="15"/>
        <v>8</v>
      </c>
      <c r="BT734" s="297">
        <f t="shared" si="16"/>
        <v>3.3755274261603373E-2</v>
      </c>
      <c r="BU734" s="298">
        <f t="shared" si="17"/>
        <v>1.6877637130801686E-2</v>
      </c>
      <c r="BV734" s="3"/>
      <c r="BW734" s="3"/>
      <c r="BX734" s="3"/>
      <c r="BY734" s="3"/>
      <c r="BZ734" s="3"/>
      <c r="CA734" s="3"/>
      <c r="CB734" s="3"/>
      <c r="CC734" s="3"/>
      <c r="CE734" s="3"/>
      <c r="CF734" s="3"/>
      <c r="CG734" s="1275">
        <f t="shared" si="39"/>
        <v>1</v>
      </c>
      <c r="CH734" s="1276"/>
      <c r="CI734" s="1270">
        <f t="shared" si="40"/>
        <v>8</v>
      </c>
      <c r="CJ734" s="1272"/>
      <c r="CK734" s="1275">
        <f t="shared" si="18"/>
        <v>0</v>
      </c>
      <c r="CL734" s="1276"/>
      <c r="CM734" s="1270">
        <f t="shared" si="19"/>
        <v>0</v>
      </c>
      <c r="CN734" s="1272"/>
      <c r="CO734" s="3"/>
      <c r="CP734" s="1267">
        <f t="shared" si="20"/>
        <v>0</v>
      </c>
      <c r="CQ734" s="1268"/>
      <c r="CR734" s="1268"/>
      <c r="CS734" s="1268"/>
      <c r="CT734" s="1269"/>
      <c r="CU734" s="1289">
        <f t="shared" si="21"/>
        <v>0</v>
      </c>
      <c r="CV734" s="1289"/>
      <c r="CW734" s="1289"/>
      <c r="CX734" s="1289"/>
      <c r="CY734" s="1289"/>
      <c r="CZ734" s="1289">
        <f t="shared" si="22"/>
        <v>0</v>
      </c>
      <c r="DA734" s="1289"/>
      <c r="DB734" s="1289"/>
      <c r="DC734" s="1289"/>
      <c r="DD734" s="1289"/>
      <c r="DE734" s="1289">
        <f t="shared" si="23"/>
        <v>8</v>
      </c>
      <c r="DF734" s="1289"/>
      <c r="DG734" s="1289"/>
      <c r="DH734" s="1289"/>
      <c r="DI734" s="1289"/>
      <c r="DJ734" s="1289">
        <f t="shared" si="24"/>
        <v>0</v>
      </c>
      <c r="DK734" s="1289"/>
      <c r="DL734" s="1289"/>
      <c r="DM734" s="1289"/>
      <c r="DN734" s="1289"/>
      <c r="DO734" s="1289">
        <f t="shared" si="25"/>
        <v>0</v>
      </c>
      <c r="DP734" s="1289"/>
      <c r="DQ734" s="1289"/>
      <c r="DR734" s="1289"/>
      <c r="DS734" s="1289"/>
      <c r="DT734" s="6"/>
      <c r="DU734" s="1293">
        <f t="shared" si="26"/>
        <v>0</v>
      </c>
      <c r="DV734" s="1293"/>
      <c r="DW734" s="1293"/>
      <c r="DX734" s="1293"/>
      <c r="DY734" s="1293"/>
      <c r="DZ734" s="1293">
        <f t="shared" si="27"/>
        <v>0</v>
      </c>
      <c r="EA734" s="1293"/>
      <c r="EB734" s="1293"/>
      <c r="EC734" s="1293"/>
      <c r="ED734" s="1293"/>
      <c r="EE734" s="1293">
        <f t="shared" si="28"/>
        <v>0</v>
      </c>
      <c r="EF734" s="1293"/>
      <c r="EG734" s="1293"/>
      <c r="EH734" s="1293"/>
      <c r="EI734" s="1293"/>
      <c r="EJ734" s="1293">
        <f t="shared" si="29"/>
        <v>0</v>
      </c>
      <c r="EK734" s="1293"/>
      <c r="EL734" s="1293"/>
      <c r="EM734" s="1293"/>
      <c r="EN734" s="1293"/>
      <c r="EO734" s="1293">
        <f t="shared" si="30"/>
        <v>0</v>
      </c>
      <c r="EP734" s="1293"/>
      <c r="EQ734" s="1293"/>
      <c r="ER734" s="1293"/>
      <c r="ES734" s="1293"/>
      <c r="ET734" s="1293">
        <f t="shared" si="31"/>
        <v>0</v>
      </c>
      <c r="EU734" s="1293"/>
      <c r="EV734" s="1293"/>
      <c r="EW734" s="1293"/>
      <c r="EX734" s="1293"/>
      <c r="EY734" s="4"/>
      <c r="EZ734" s="1275" t="str">
        <f t="shared" si="32"/>
        <v/>
      </c>
      <c r="FA734" s="1288"/>
      <c r="FB734" s="1288"/>
      <c r="FC734" s="1288"/>
      <c r="FD734" s="1276"/>
      <c r="FE734" s="1275" t="str">
        <f t="shared" si="33"/>
        <v/>
      </c>
      <c r="FF734" s="1288"/>
      <c r="FG734" s="1288"/>
      <c r="FH734" s="1288"/>
      <c r="FI734" s="1276"/>
      <c r="FJ734" s="1275" t="str">
        <f t="shared" si="34"/>
        <v/>
      </c>
      <c r="FK734" s="1288"/>
      <c r="FL734" s="1288"/>
      <c r="FM734" s="1288"/>
      <c r="FN734" s="1276"/>
      <c r="FO734" s="1275">
        <f t="shared" si="35"/>
        <v>1423</v>
      </c>
      <c r="FP734" s="1288"/>
      <c r="FQ734" s="1288"/>
      <c r="FR734" s="1288"/>
      <c r="FS734" s="1276"/>
      <c r="FT734" s="1275" t="str">
        <f t="shared" si="36"/>
        <v/>
      </c>
      <c r="FU734" s="1288"/>
      <c r="FV734" s="1288"/>
      <c r="FW734" s="1288"/>
      <c r="FX734" s="1276"/>
      <c r="FY734" s="1275" t="str">
        <f t="shared" si="37"/>
        <v/>
      </c>
      <c r="FZ734" s="1288"/>
      <c r="GA734" s="1288"/>
      <c r="GB734" s="1288"/>
      <c r="GC734" s="1276"/>
    </row>
    <row r="735" spans="1:185" ht="12.95" customHeight="1">
      <c r="A735" s="4"/>
      <c r="B735" s="1290" t="s">
        <v>164</v>
      </c>
      <c r="C735" s="1291"/>
      <c r="D735" s="1291"/>
      <c r="E735" s="1291"/>
      <c r="F735" s="1292"/>
      <c r="G735" s="1513">
        <v>60</v>
      </c>
      <c r="H735" s="1514"/>
      <c r="I735" s="1514"/>
      <c r="J735" s="1515"/>
      <c r="K735" s="1520">
        <v>1036</v>
      </c>
      <c r="L735" s="1521"/>
      <c r="M735" s="1521"/>
      <c r="N735" s="1522"/>
      <c r="O735" s="1406">
        <f>1746-T735</f>
        <v>1714</v>
      </c>
      <c r="P735" s="1407"/>
      <c r="Q735" s="1407"/>
      <c r="R735" s="1407"/>
      <c r="S735" s="1408"/>
      <c r="T735" s="1406">
        <v>32</v>
      </c>
      <c r="U735" s="1407"/>
      <c r="V735" s="1407"/>
      <c r="W735" s="1408"/>
      <c r="X735" s="1329">
        <f t="shared" si="10"/>
        <v>1746</v>
      </c>
      <c r="Y735" s="1330"/>
      <c r="Z735" s="1330"/>
      <c r="AA735" s="1330"/>
      <c r="AB735" s="1331"/>
      <c r="AC735" s="1517">
        <v>0.6</v>
      </c>
      <c r="AD735" s="1518"/>
      <c r="AE735" s="1518"/>
      <c r="AF735" s="1518"/>
      <c r="AG735" s="1519"/>
      <c r="AH735" s="1311">
        <f t="shared" si="38"/>
        <v>0.6</v>
      </c>
      <c r="AI735" s="1312"/>
      <c r="AJ735" s="1313"/>
      <c r="AK735" s="1290" t="s">
        <v>589</v>
      </c>
      <c r="AL735" s="1291"/>
      <c r="AM735" s="1291"/>
      <c r="AN735" s="1291"/>
      <c r="AO735" s="1292"/>
      <c r="AP735" s="3"/>
      <c r="AQ735" s="3"/>
      <c r="AR735" s="3"/>
      <c r="AS735" s="3"/>
      <c r="AY735" s="1080"/>
      <c r="AZ735" s="118">
        <f t="shared" si="11"/>
        <v>2910</v>
      </c>
      <c r="BA735" s="3"/>
      <c r="BB735" s="3"/>
      <c r="BC735" s="3"/>
      <c r="BD735" s="3"/>
      <c r="BE735" s="204"/>
      <c r="BF735" s="294">
        <f t="shared" si="12"/>
        <v>60</v>
      </c>
      <c r="BG735" s="297">
        <f t="shared" si="13"/>
        <v>0.25316455696202533</v>
      </c>
      <c r="BH735" s="298">
        <f t="shared" si="14"/>
        <v>0.15189873417721519</v>
      </c>
      <c r="BI735" s="3"/>
      <c r="BJ735" s="3"/>
      <c r="BK735" s="3"/>
      <c r="BL735" s="3"/>
      <c r="BM735" s="3"/>
      <c r="BN735" s="3"/>
      <c r="BS735" s="294">
        <f t="shared" si="15"/>
        <v>60</v>
      </c>
      <c r="BT735" s="297">
        <f t="shared" si="16"/>
        <v>0.25316455696202533</v>
      </c>
      <c r="BU735" s="298">
        <f t="shared" si="17"/>
        <v>0.15189873417721519</v>
      </c>
      <c r="BV735" s="3"/>
      <c r="BW735" s="3"/>
      <c r="BX735" s="3"/>
      <c r="BY735" s="3"/>
      <c r="BZ735" s="3"/>
      <c r="CA735" s="3"/>
      <c r="CB735" s="3"/>
      <c r="CC735" s="3"/>
      <c r="CE735" s="3"/>
      <c r="CF735" s="3"/>
      <c r="CG735" s="1275">
        <f t="shared" si="39"/>
        <v>0</v>
      </c>
      <c r="CH735" s="1276"/>
      <c r="CI735" s="1270">
        <f t="shared" si="40"/>
        <v>0</v>
      </c>
      <c r="CJ735" s="1272"/>
      <c r="CK735" s="1275">
        <f t="shared" si="18"/>
        <v>0</v>
      </c>
      <c r="CL735" s="1276"/>
      <c r="CM735" s="1270">
        <f t="shared" si="19"/>
        <v>0</v>
      </c>
      <c r="CN735" s="1272"/>
      <c r="CO735" s="3"/>
      <c r="CP735" s="1267">
        <f t="shared" si="20"/>
        <v>0</v>
      </c>
      <c r="CQ735" s="1268"/>
      <c r="CR735" s="1268"/>
      <c r="CS735" s="1268"/>
      <c r="CT735" s="1269"/>
      <c r="CU735" s="1289">
        <f t="shared" si="21"/>
        <v>0</v>
      </c>
      <c r="CV735" s="1289"/>
      <c r="CW735" s="1289"/>
      <c r="CX735" s="1289"/>
      <c r="CY735" s="1289"/>
      <c r="CZ735" s="1289">
        <f t="shared" si="22"/>
        <v>0</v>
      </c>
      <c r="DA735" s="1289"/>
      <c r="DB735" s="1289"/>
      <c r="DC735" s="1289"/>
      <c r="DD735" s="1289"/>
      <c r="DE735" s="1289">
        <f t="shared" si="23"/>
        <v>60</v>
      </c>
      <c r="DF735" s="1289"/>
      <c r="DG735" s="1289"/>
      <c r="DH735" s="1289"/>
      <c r="DI735" s="1289"/>
      <c r="DJ735" s="1289">
        <f t="shared" si="24"/>
        <v>0</v>
      </c>
      <c r="DK735" s="1289"/>
      <c r="DL735" s="1289"/>
      <c r="DM735" s="1289"/>
      <c r="DN735" s="1289"/>
      <c r="DO735" s="1289">
        <f t="shared" si="25"/>
        <v>0</v>
      </c>
      <c r="DP735" s="1289"/>
      <c r="DQ735" s="1289"/>
      <c r="DR735" s="1289"/>
      <c r="DS735" s="1289"/>
      <c r="DT735" s="6"/>
      <c r="DU735" s="1293">
        <f t="shared" si="26"/>
        <v>0</v>
      </c>
      <c r="DV735" s="1293"/>
      <c r="DW735" s="1293"/>
      <c r="DX735" s="1293"/>
      <c r="DY735" s="1293"/>
      <c r="DZ735" s="1293">
        <f t="shared" si="27"/>
        <v>0</v>
      </c>
      <c r="EA735" s="1293"/>
      <c r="EB735" s="1293"/>
      <c r="EC735" s="1293"/>
      <c r="ED735" s="1293"/>
      <c r="EE735" s="1293">
        <f t="shared" si="28"/>
        <v>0</v>
      </c>
      <c r="EF735" s="1293"/>
      <c r="EG735" s="1293"/>
      <c r="EH735" s="1293"/>
      <c r="EI735" s="1293"/>
      <c r="EJ735" s="1293">
        <f t="shared" si="29"/>
        <v>0</v>
      </c>
      <c r="EK735" s="1293"/>
      <c r="EL735" s="1293"/>
      <c r="EM735" s="1293"/>
      <c r="EN735" s="1293"/>
      <c r="EO735" s="1293">
        <f t="shared" si="30"/>
        <v>0</v>
      </c>
      <c r="EP735" s="1293"/>
      <c r="EQ735" s="1293"/>
      <c r="ER735" s="1293"/>
      <c r="ES735" s="1293"/>
      <c r="ET735" s="1293">
        <f t="shared" si="31"/>
        <v>0</v>
      </c>
      <c r="EU735" s="1293"/>
      <c r="EV735" s="1293"/>
      <c r="EW735" s="1293"/>
      <c r="EX735" s="1293"/>
      <c r="EY735" s="4"/>
      <c r="EZ735" s="1275" t="str">
        <f t="shared" si="32"/>
        <v/>
      </c>
      <c r="FA735" s="1288"/>
      <c r="FB735" s="1288"/>
      <c r="FC735" s="1288"/>
      <c r="FD735" s="1276"/>
      <c r="FE735" s="1275" t="str">
        <f t="shared" si="33"/>
        <v/>
      </c>
      <c r="FF735" s="1288"/>
      <c r="FG735" s="1288"/>
      <c r="FH735" s="1288"/>
      <c r="FI735" s="1276"/>
      <c r="FJ735" s="1275" t="str">
        <f t="shared" si="34"/>
        <v/>
      </c>
      <c r="FK735" s="1288"/>
      <c r="FL735" s="1288"/>
      <c r="FM735" s="1288"/>
      <c r="FN735" s="1276"/>
      <c r="FO735" s="1275">
        <f t="shared" si="35"/>
        <v>1714</v>
      </c>
      <c r="FP735" s="1288"/>
      <c r="FQ735" s="1288"/>
      <c r="FR735" s="1288"/>
      <c r="FS735" s="1276"/>
      <c r="FT735" s="1275" t="str">
        <f t="shared" si="36"/>
        <v/>
      </c>
      <c r="FU735" s="1288"/>
      <c r="FV735" s="1288"/>
      <c r="FW735" s="1288"/>
      <c r="FX735" s="1276"/>
      <c r="FY735" s="1275" t="str">
        <f t="shared" si="37"/>
        <v/>
      </c>
      <c r="FZ735" s="1288"/>
      <c r="GA735" s="1288"/>
      <c r="GB735" s="1288"/>
      <c r="GC735" s="1276"/>
    </row>
    <row r="736" spans="1:185" ht="12.95" customHeight="1">
      <c r="A736" s="4"/>
      <c r="B736" s="1290" t="s">
        <v>164</v>
      </c>
      <c r="C736" s="1291"/>
      <c r="D736" s="1291"/>
      <c r="E736" s="1291"/>
      <c r="F736" s="1292"/>
      <c r="G736" s="1513">
        <v>12</v>
      </c>
      <c r="H736" s="1514"/>
      <c r="I736" s="1514"/>
      <c r="J736" s="1515"/>
      <c r="K736" s="1520">
        <v>1036</v>
      </c>
      <c r="L736" s="1521"/>
      <c r="M736" s="1521"/>
      <c r="N736" s="1522"/>
      <c r="O736" s="1406">
        <f>2037-T736</f>
        <v>2005</v>
      </c>
      <c r="P736" s="1407"/>
      <c r="Q736" s="1407"/>
      <c r="R736" s="1407"/>
      <c r="S736" s="1408"/>
      <c r="T736" s="1406">
        <v>32</v>
      </c>
      <c r="U736" s="1407"/>
      <c r="V736" s="1407"/>
      <c r="W736" s="1408"/>
      <c r="X736" s="1329">
        <f t="shared" si="10"/>
        <v>2037</v>
      </c>
      <c r="Y736" s="1330"/>
      <c r="Z736" s="1330"/>
      <c r="AA736" s="1330"/>
      <c r="AB736" s="1331"/>
      <c r="AC736" s="1517">
        <v>0.7</v>
      </c>
      <c r="AD736" s="1518"/>
      <c r="AE736" s="1518"/>
      <c r="AF736" s="1518"/>
      <c r="AG736" s="1519"/>
      <c r="AH736" s="1311">
        <f t="shared" si="38"/>
        <v>0.7</v>
      </c>
      <c r="AI736" s="1312"/>
      <c r="AJ736" s="1313"/>
      <c r="AK736" s="1290" t="s">
        <v>589</v>
      </c>
      <c r="AL736" s="1291"/>
      <c r="AM736" s="1291"/>
      <c r="AN736" s="1291"/>
      <c r="AO736" s="1292"/>
      <c r="AP736" s="3"/>
      <c r="AQ736" s="3"/>
      <c r="AR736" s="3"/>
      <c r="AS736" s="3"/>
      <c r="AY736" s="1080"/>
      <c r="AZ736" s="118">
        <f t="shared" si="11"/>
        <v>2910</v>
      </c>
      <c r="BA736" s="3"/>
      <c r="BB736" s="3"/>
      <c r="BC736" s="3"/>
      <c r="BD736" s="3"/>
      <c r="BE736" s="204"/>
      <c r="BF736" s="294">
        <f t="shared" si="12"/>
        <v>12</v>
      </c>
      <c r="BG736" s="297">
        <f t="shared" si="13"/>
        <v>5.0632911392405063E-2</v>
      </c>
      <c r="BH736" s="298">
        <f t="shared" si="14"/>
        <v>3.5443037974683539E-2</v>
      </c>
      <c r="BI736" s="3"/>
      <c r="BJ736" s="3"/>
      <c r="BK736" s="3"/>
      <c r="BL736" s="3"/>
      <c r="BM736" s="3"/>
      <c r="BN736" s="3"/>
      <c r="BS736" s="294">
        <f t="shared" si="15"/>
        <v>12</v>
      </c>
      <c r="BT736" s="297">
        <f t="shared" si="16"/>
        <v>5.0632911392405063E-2</v>
      </c>
      <c r="BU736" s="298">
        <f t="shared" si="17"/>
        <v>3.5443037974683539E-2</v>
      </c>
      <c r="BV736" s="3"/>
      <c r="BW736" s="3"/>
      <c r="BX736" s="3"/>
      <c r="BY736" s="3"/>
      <c r="BZ736" s="3"/>
      <c r="CA736" s="3"/>
      <c r="CB736" s="3"/>
      <c r="CC736" s="3"/>
      <c r="CE736" s="3"/>
      <c r="CF736" s="3"/>
      <c r="CG736" s="1275">
        <f t="shared" si="39"/>
        <v>0</v>
      </c>
      <c r="CH736" s="1276"/>
      <c r="CI736" s="1270">
        <f t="shared" si="40"/>
        <v>0</v>
      </c>
      <c r="CJ736" s="1272"/>
      <c r="CK736" s="1275">
        <f t="shared" si="18"/>
        <v>0</v>
      </c>
      <c r="CL736" s="1276"/>
      <c r="CM736" s="1270">
        <f t="shared" si="19"/>
        <v>0</v>
      </c>
      <c r="CN736" s="1272"/>
      <c r="CO736" s="3"/>
      <c r="CP736" s="1267">
        <f t="shared" si="20"/>
        <v>0</v>
      </c>
      <c r="CQ736" s="1268"/>
      <c r="CR736" s="1268"/>
      <c r="CS736" s="1268"/>
      <c r="CT736" s="1269"/>
      <c r="CU736" s="1289">
        <f t="shared" si="21"/>
        <v>0</v>
      </c>
      <c r="CV736" s="1289"/>
      <c r="CW736" s="1289"/>
      <c r="CX736" s="1289"/>
      <c r="CY736" s="1289"/>
      <c r="CZ736" s="1289">
        <f t="shared" si="22"/>
        <v>0</v>
      </c>
      <c r="DA736" s="1289"/>
      <c r="DB736" s="1289"/>
      <c r="DC736" s="1289"/>
      <c r="DD736" s="1289"/>
      <c r="DE736" s="1289">
        <f t="shared" si="23"/>
        <v>12</v>
      </c>
      <c r="DF736" s="1289"/>
      <c r="DG736" s="1289"/>
      <c r="DH736" s="1289"/>
      <c r="DI736" s="1289"/>
      <c r="DJ736" s="1289">
        <f t="shared" si="24"/>
        <v>0</v>
      </c>
      <c r="DK736" s="1289"/>
      <c r="DL736" s="1289"/>
      <c r="DM736" s="1289"/>
      <c r="DN736" s="1289"/>
      <c r="DO736" s="1289">
        <f t="shared" si="25"/>
        <v>0</v>
      </c>
      <c r="DP736" s="1289"/>
      <c r="DQ736" s="1289"/>
      <c r="DR736" s="1289"/>
      <c r="DS736" s="1289"/>
      <c r="DT736" s="6"/>
      <c r="DU736" s="1293">
        <f t="shared" si="26"/>
        <v>0</v>
      </c>
      <c r="DV736" s="1293"/>
      <c r="DW736" s="1293"/>
      <c r="DX736" s="1293"/>
      <c r="DY736" s="1293"/>
      <c r="DZ736" s="1293">
        <f t="shared" si="27"/>
        <v>0</v>
      </c>
      <c r="EA736" s="1293"/>
      <c r="EB736" s="1293"/>
      <c r="EC736" s="1293"/>
      <c r="ED736" s="1293"/>
      <c r="EE736" s="1293">
        <f t="shared" si="28"/>
        <v>0</v>
      </c>
      <c r="EF736" s="1293"/>
      <c r="EG736" s="1293"/>
      <c r="EH736" s="1293"/>
      <c r="EI736" s="1293"/>
      <c r="EJ736" s="1293">
        <f t="shared" si="29"/>
        <v>0</v>
      </c>
      <c r="EK736" s="1293"/>
      <c r="EL736" s="1293"/>
      <c r="EM736" s="1293"/>
      <c r="EN736" s="1293"/>
      <c r="EO736" s="1293">
        <f t="shared" si="30"/>
        <v>0</v>
      </c>
      <c r="EP736" s="1293"/>
      <c r="EQ736" s="1293"/>
      <c r="ER736" s="1293"/>
      <c r="ES736" s="1293"/>
      <c r="ET736" s="1293">
        <f t="shared" si="31"/>
        <v>0</v>
      </c>
      <c r="EU736" s="1293"/>
      <c r="EV736" s="1293"/>
      <c r="EW736" s="1293"/>
      <c r="EX736" s="1293"/>
      <c r="EY736" s="4"/>
      <c r="EZ736" s="1275" t="str">
        <f t="shared" si="32"/>
        <v/>
      </c>
      <c r="FA736" s="1288"/>
      <c r="FB736" s="1288"/>
      <c r="FC736" s="1288"/>
      <c r="FD736" s="1276"/>
      <c r="FE736" s="1275" t="str">
        <f t="shared" si="33"/>
        <v/>
      </c>
      <c r="FF736" s="1288"/>
      <c r="FG736" s="1288"/>
      <c r="FH736" s="1288"/>
      <c r="FI736" s="1276"/>
      <c r="FJ736" s="1275" t="str">
        <f t="shared" si="34"/>
        <v/>
      </c>
      <c r="FK736" s="1288"/>
      <c r="FL736" s="1288"/>
      <c r="FM736" s="1288"/>
      <c r="FN736" s="1276"/>
      <c r="FO736" s="1275">
        <f t="shared" si="35"/>
        <v>2005</v>
      </c>
      <c r="FP736" s="1288"/>
      <c r="FQ736" s="1288"/>
      <c r="FR736" s="1288"/>
      <c r="FS736" s="1276"/>
      <c r="FT736" s="1275" t="str">
        <f t="shared" si="36"/>
        <v/>
      </c>
      <c r="FU736" s="1288"/>
      <c r="FV736" s="1288"/>
      <c r="FW736" s="1288"/>
      <c r="FX736" s="1276"/>
      <c r="FY736" s="1275" t="str">
        <f t="shared" si="37"/>
        <v/>
      </c>
      <c r="FZ736" s="1288"/>
      <c r="GA736" s="1288"/>
      <c r="GB736" s="1288"/>
      <c r="GC736" s="1276"/>
    </row>
    <row r="737" spans="1:185" ht="12.95" customHeight="1">
      <c r="A737" s="4"/>
      <c r="B737" s="1290" t="s">
        <v>165</v>
      </c>
      <c r="C737" s="1291"/>
      <c r="D737" s="1291"/>
      <c r="E737" s="1291"/>
      <c r="F737" s="1292"/>
      <c r="G737" s="1513">
        <v>2</v>
      </c>
      <c r="H737" s="1514"/>
      <c r="I737" s="1514"/>
      <c r="J737" s="1515"/>
      <c r="K737" s="1520">
        <v>1185</v>
      </c>
      <c r="L737" s="1521"/>
      <c r="M737" s="1521"/>
      <c r="N737" s="1522"/>
      <c r="O737" s="1406">
        <f>973-T737</f>
        <v>936</v>
      </c>
      <c r="P737" s="1407"/>
      <c r="Q737" s="1407"/>
      <c r="R737" s="1407"/>
      <c r="S737" s="1408"/>
      <c r="T737" s="1406">
        <v>37</v>
      </c>
      <c r="U737" s="1407"/>
      <c r="V737" s="1407"/>
      <c r="W737" s="1408"/>
      <c r="X737" s="1329">
        <f t="shared" si="10"/>
        <v>973</v>
      </c>
      <c r="Y737" s="1330"/>
      <c r="Z737" s="1330"/>
      <c r="AA737" s="1330"/>
      <c r="AB737" s="1331"/>
      <c r="AC737" s="1517">
        <v>0.3</v>
      </c>
      <c r="AD737" s="1518"/>
      <c r="AE737" s="1518"/>
      <c r="AF737" s="1518"/>
      <c r="AG737" s="1519"/>
      <c r="AH737" s="1311">
        <f t="shared" si="38"/>
        <v>0.29993834771886557</v>
      </c>
      <c r="AI737" s="1312"/>
      <c r="AJ737" s="1313"/>
      <c r="AK737" s="1290" t="s">
        <v>589</v>
      </c>
      <c r="AL737" s="1291"/>
      <c r="AM737" s="1291"/>
      <c r="AN737" s="1291"/>
      <c r="AO737" s="1292"/>
      <c r="AP737" s="3"/>
      <c r="AQ737" s="3"/>
      <c r="AR737" s="3"/>
      <c r="AS737" s="3"/>
      <c r="AY737" s="1080"/>
      <c r="AZ737" s="118">
        <f t="shared" si="11"/>
        <v>3244</v>
      </c>
      <c r="BA737" s="3"/>
      <c r="BB737" s="3"/>
      <c r="BC737" s="3"/>
      <c r="BD737" s="3"/>
      <c r="BE737" s="204"/>
      <c r="BF737" s="294">
        <f t="shared" si="12"/>
        <v>2</v>
      </c>
      <c r="BG737" s="297">
        <f t="shared" si="13"/>
        <v>8.4388185654008432E-3</v>
      </c>
      <c r="BH737" s="298">
        <f t="shared" si="14"/>
        <v>2.5316455696202528E-3</v>
      </c>
      <c r="BI737" s="3"/>
      <c r="BJ737" s="3"/>
      <c r="BK737" s="3"/>
      <c r="BL737" s="3"/>
      <c r="BM737" s="3"/>
      <c r="BN737" s="3"/>
      <c r="BS737" s="294">
        <f t="shared" si="15"/>
        <v>2</v>
      </c>
      <c r="BT737" s="297">
        <f t="shared" si="16"/>
        <v>8.4388185654008432E-3</v>
      </c>
      <c r="BU737" s="298">
        <f t="shared" si="17"/>
        <v>2.5311252972056164E-3</v>
      </c>
      <c r="BV737" s="3"/>
      <c r="BW737" s="3"/>
      <c r="BX737" s="3"/>
      <c r="BY737" s="3"/>
      <c r="BZ737" s="3"/>
      <c r="CA737" s="3"/>
      <c r="CB737" s="3"/>
      <c r="CC737" s="3"/>
      <c r="CE737" s="3"/>
      <c r="CF737" s="3"/>
      <c r="CG737" s="1275">
        <f t="shared" si="39"/>
        <v>0</v>
      </c>
      <c r="CH737" s="1276"/>
      <c r="CI737" s="1270">
        <f t="shared" si="40"/>
        <v>0</v>
      </c>
      <c r="CJ737" s="1272"/>
      <c r="CK737" s="1275">
        <f t="shared" si="18"/>
        <v>1</v>
      </c>
      <c r="CL737" s="1276"/>
      <c r="CM737" s="1270">
        <f t="shared" si="19"/>
        <v>2</v>
      </c>
      <c r="CN737" s="1272"/>
      <c r="CO737" s="3"/>
      <c r="CP737" s="1267">
        <f t="shared" si="20"/>
        <v>0</v>
      </c>
      <c r="CQ737" s="1268"/>
      <c r="CR737" s="1268"/>
      <c r="CS737" s="1268"/>
      <c r="CT737" s="1269"/>
      <c r="CU737" s="1289">
        <f t="shared" si="21"/>
        <v>0</v>
      </c>
      <c r="CV737" s="1289"/>
      <c r="CW737" s="1289"/>
      <c r="CX737" s="1289"/>
      <c r="CY737" s="1289"/>
      <c r="CZ737" s="1289">
        <f t="shared" si="22"/>
        <v>0</v>
      </c>
      <c r="DA737" s="1289"/>
      <c r="DB737" s="1289"/>
      <c r="DC737" s="1289"/>
      <c r="DD737" s="1289"/>
      <c r="DE737" s="1289">
        <f t="shared" si="23"/>
        <v>0</v>
      </c>
      <c r="DF737" s="1289"/>
      <c r="DG737" s="1289"/>
      <c r="DH737" s="1289"/>
      <c r="DI737" s="1289"/>
      <c r="DJ737" s="1289">
        <f t="shared" si="24"/>
        <v>2</v>
      </c>
      <c r="DK737" s="1289"/>
      <c r="DL737" s="1289"/>
      <c r="DM737" s="1289"/>
      <c r="DN737" s="1289"/>
      <c r="DO737" s="1289">
        <f t="shared" si="25"/>
        <v>0</v>
      </c>
      <c r="DP737" s="1289"/>
      <c r="DQ737" s="1289"/>
      <c r="DR737" s="1289"/>
      <c r="DS737" s="1289"/>
      <c r="DT737" s="6"/>
      <c r="DU737" s="1293">
        <f t="shared" si="26"/>
        <v>0</v>
      </c>
      <c r="DV737" s="1293"/>
      <c r="DW737" s="1293"/>
      <c r="DX737" s="1293"/>
      <c r="DY737" s="1293"/>
      <c r="DZ737" s="1293">
        <f t="shared" si="27"/>
        <v>0</v>
      </c>
      <c r="EA737" s="1293"/>
      <c r="EB737" s="1293"/>
      <c r="EC737" s="1293"/>
      <c r="ED737" s="1293"/>
      <c r="EE737" s="1293">
        <f t="shared" si="28"/>
        <v>0</v>
      </c>
      <c r="EF737" s="1293"/>
      <c r="EG737" s="1293"/>
      <c r="EH737" s="1293"/>
      <c r="EI737" s="1293"/>
      <c r="EJ737" s="1293">
        <f t="shared" si="29"/>
        <v>0</v>
      </c>
      <c r="EK737" s="1293"/>
      <c r="EL737" s="1293"/>
      <c r="EM737" s="1293"/>
      <c r="EN737" s="1293"/>
      <c r="EO737" s="1293">
        <f t="shared" si="30"/>
        <v>2</v>
      </c>
      <c r="EP737" s="1293"/>
      <c r="EQ737" s="1293"/>
      <c r="ER737" s="1293"/>
      <c r="ES737" s="1293"/>
      <c r="ET737" s="1293">
        <f t="shared" si="31"/>
        <v>0</v>
      </c>
      <c r="EU737" s="1293"/>
      <c r="EV737" s="1293"/>
      <c r="EW737" s="1293"/>
      <c r="EX737" s="1293"/>
      <c r="EZ737" s="1275" t="str">
        <f t="shared" si="32"/>
        <v/>
      </c>
      <c r="FA737" s="1288"/>
      <c r="FB737" s="1288"/>
      <c r="FC737" s="1288"/>
      <c r="FD737" s="1276"/>
      <c r="FE737" s="1275" t="str">
        <f t="shared" si="33"/>
        <v/>
      </c>
      <c r="FF737" s="1288"/>
      <c r="FG737" s="1288"/>
      <c r="FH737" s="1288"/>
      <c r="FI737" s="1276"/>
      <c r="FJ737" s="1275" t="str">
        <f t="shared" si="34"/>
        <v/>
      </c>
      <c r="FK737" s="1288"/>
      <c r="FL737" s="1288"/>
      <c r="FM737" s="1288"/>
      <c r="FN737" s="1276"/>
      <c r="FO737" s="1275" t="str">
        <f t="shared" si="35"/>
        <v/>
      </c>
      <c r="FP737" s="1288"/>
      <c r="FQ737" s="1288"/>
      <c r="FR737" s="1288"/>
      <c r="FS737" s="1276"/>
      <c r="FT737" s="1275">
        <f t="shared" si="36"/>
        <v>936</v>
      </c>
      <c r="FU737" s="1288"/>
      <c r="FV737" s="1288"/>
      <c r="FW737" s="1288"/>
      <c r="FX737" s="1276"/>
      <c r="FY737" s="1275" t="str">
        <f t="shared" si="37"/>
        <v/>
      </c>
      <c r="FZ737" s="1288"/>
      <c r="GA737" s="1288"/>
      <c r="GB737" s="1288"/>
      <c r="GC737" s="1276"/>
    </row>
    <row r="738" spans="1:185" ht="12.95" customHeight="1">
      <c r="B738" s="1290" t="s">
        <v>165</v>
      </c>
      <c r="C738" s="1291"/>
      <c r="D738" s="1291"/>
      <c r="E738" s="1291"/>
      <c r="F738" s="1292"/>
      <c r="G738" s="1513">
        <v>4</v>
      </c>
      <c r="H738" s="1514"/>
      <c r="I738" s="1514"/>
      <c r="J738" s="1515"/>
      <c r="K738" s="1520">
        <v>1185</v>
      </c>
      <c r="L738" s="1521"/>
      <c r="M738" s="1521"/>
      <c r="N738" s="1522"/>
      <c r="O738" s="1406">
        <f>1622-T738</f>
        <v>1585</v>
      </c>
      <c r="P738" s="1407"/>
      <c r="Q738" s="1407"/>
      <c r="R738" s="1407"/>
      <c r="S738" s="1408"/>
      <c r="T738" s="1406">
        <v>37</v>
      </c>
      <c r="U738" s="1407"/>
      <c r="V738" s="1407"/>
      <c r="W738" s="1408"/>
      <c r="X738" s="1329">
        <f t="shared" si="10"/>
        <v>1622</v>
      </c>
      <c r="Y738" s="1330"/>
      <c r="Z738" s="1330"/>
      <c r="AA738" s="1330"/>
      <c r="AB738" s="1331"/>
      <c r="AC738" s="1517">
        <v>0.5</v>
      </c>
      <c r="AD738" s="1518"/>
      <c r="AE738" s="1518"/>
      <c r="AF738" s="1518"/>
      <c r="AG738" s="1519"/>
      <c r="AH738" s="1311">
        <f t="shared" si="38"/>
        <v>0.5</v>
      </c>
      <c r="AI738" s="1312"/>
      <c r="AJ738" s="1313"/>
      <c r="AK738" s="1290" t="s">
        <v>589</v>
      </c>
      <c r="AL738" s="1291"/>
      <c r="AM738" s="1291"/>
      <c r="AN738" s="1291"/>
      <c r="AO738" s="1292"/>
      <c r="AP738" s="3"/>
      <c r="AQ738" s="3"/>
      <c r="AR738" s="3"/>
      <c r="AS738" s="3"/>
      <c r="AY738" s="1080"/>
      <c r="AZ738" s="118">
        <f t="shared" si="11"/>
        <v>3244</v>
      </c>
      <c r="BA738" s="3"/>
      <c r="BB738" s="3"/>
      <c r="BC738" s="3"/>
      <c r="BD738" s="3"/>
      <c r="BE738" s="204"/>
      <c r="BF738" s="294">
        <f t="shared" si="12"/>
        <v>4</v>
      </c>
      <c r="BG738" s="297">
        <f t="shared" si="13"/>
        <v>1.6877637130801686E-2</v>
      </c>
      <c r="BH738" s="298">
        <f t="shared" si="14"/>
        <v>8.4388185654008432E-3</v>
      </c>
      <c r="BI738" s="3"/>
      <c r="BJ738" s="3"/>
      <c r="BK738" s="3"/>
      <c r="BL738" s="3"/>
      <c r="BM738" s="3"/>
      <c r="BN738" s="3"/>
      <c r="BS738" s="294">
        <f t="shared" si="15"/>
        <v>4</v>
      </c>
      <c r="BT738" s="297">
        <f t="shared" si="16"/>
        <v>1.6877637130801686E-2</v>
      </c>
      <c r="BU738" s="298">
        <f t="shared" si="17"/>
        <v>8.4388185654008432E-3</v>
      </c>
      <c r="BV738" s="3"/>
      <c r="BW738" s="3"/>
      <c r="BX738" s="3"/>
      <c r="BY738" s="3"/>
      <c r="BZ738" s="3"/>
      <c r="CA738" s="3"/>
      <c r="CB738" s="3"/>
      <c r="CC738" s="3"/>
      <c r="CE738" s="3"/>
      <c r="CF738" s="3"/>
      <c r="CG738" s="1275">
        <f t="shared" si="39"/>
        <v>1</v>
      </c>
      <c r="CH738" s="1276"/>
      <c r="CI738" s="1270">
        <f t="shared" si="40"/>
        <v>4</v>
      </c>
      <c r="CJ738" s="1272"/>
      <c r="CK738" s="1275">
        <f t="shared" si="18"/>
        <v>0</v>
      </c>
      <c r="CL738" s="1276"/>
      <c r="CM738" s="1270">
        <f t="shared" si="19"/>
        <v>0</v>
      </c>
      <c r="CN738" s="1272"/>
      <c r="CO738" s="3"/>
      <c r="CP738" s="1267">
        <f t="shared" si="20"/>
        <v>0</v>
      </c>
      <c r="CQ738" s="1268"/>
      <c r="CR738" s="1268"/>
      <c r="CS738" s="1268"/>
      <c r="CT738" s="1269"/>
      <c r="CU738" s="1289">
        <f t="shared" si="21"/>
        <v>0</v>
      </c>
      <c r="CV738" s="1289"/>
      <c r="CW738" s="1289"/>
      <c r="CX738" s="1289"/>
      <c r="CY738" s="1289"/>
      <c r="CZ738" s="1289">
        <f t="shared" si="22"/>
        <v>0</v>
      </c>
      <c r="DA738" s="1289"/>
      <c r="DB738" s="1289"/>
      <c r="DC738" s="1289"/>
      <c r="DD738" s="1289"/>
      <c r="DE738" s="1289">
        <f t="shared" si="23"/>
        <v>0</v>
      </c>
      <c r="DF738" s="1289"/>
      <c r="DG738" s="1289"/>
      <c r="DH738" s="1289"/>
      <c r="DI738" s="1289"/>
      <c r="DJ738" s="1289">
        <f t="shared" si="24"/>
        <v>4</v>
      </c>
      <c r="DK738" s="1289"/>
      <c r="DL738" s="1289"/>
      <c r="DM738" s="1289"/>
      <c r="DN738" s="1289"/>
      <c r="DO738" s="1289">
        <f t="shared" si="25"/>
        <v>0</v>
      </c>
      <c r="DP738" s="1289"/>
      <c r="DQ738" s="1289"/>
      <c r="DR738" s="1289"/>
      <c r="DS738" s="1289"/>
      <c r="DT738" s="6"/>
      <c r="DU738" s="1293">
        <f t="shared" si="26"/>
        <v>0</v>
      </c>
      <c r="DV738" s="1293"/>
      <c r="DW738" s="1293"/>
      <c r="DX738" s="1293"/>
      <c r="DY738" s="1293"/>
      <c r="DZ738" s="1293">
        <f t="shared" si="27"/>
        <v>0</v>
      </c>
      <c r="EA738" s="1293"/>
      <c r="EB738" s="1293"/>
      <c r="EC738" s="1293"/>
      <c r="ED738" s="1293"/>
      <c r="EE738" s="1293">
        <f t="shared" si="28"/>
        <v>0</v>
      </c>
      <c r="EF738" s="1293"/>
      <c r="EG738" s="1293"/>
      <c r="EH738" s="1293"/>
      <c r="EI738" s="1293"/>
      <c r="EJ738" s="1293">
        <f t="shared" si="29"/>
        <v>0</v>
      </c>
      <c r="EK738" s="1293"/>
      <c r="EL738" s="1293"/>
      <c r="EM738" s="1293"/>
      <c r="EN738" s="1293"/>
      <c r="EO738" s="1293">
        <f t="shared" si="30"/>
        <v>0</v>
      </c>
      <c r="EP738" s="1293"/>
      <c r="EQ738" s="1293"/>
      <c r="ER738" s="1293"/>
      <c r="ES738" s="1293"/>
      <c r="ET738" s="1293">
        <f t="shared" si="31"/>
        <v>0</v>
      </c>
      <c r="EU738" s="1293"/>
      <c r="EV738" s="1293"/>
      <c r="EW738" s="1293"/>
      <c r="EX738" s="1293"/>
      <c r="EZ738" s="1275" t="str">
        <f t="shared" si="32"/>
        <v/>
      </c>
      <c r="FA738" s="1288"/>
      <c r="FB738" s="1288"/>
      <c r="FC738" s="1288"/>
      <c r="FD738" s="1276"/>
      <c r="FE738" s="1275" t="str">
        <f t="shared" si="33"/>
        <v/>
      </c>
      <c r="FF738" s="1288"/>
      <c r="FG738" s="1288"/>
      <c r="FH738" s="1288"/>
      <c r="FI738" s="1276"/>
      <c r="FJ738" s="1275" t="str">
        <f t="shared" si="34"/>
        <v/>
      </c>
      <c r="FK738" s="1288"/>
      <c r="FL738" s="1288"/>
      <c r="FM738" s="1288"/>
      <c r="FN738" s="1276"/>
      <c r="FO738" s="1275" t="str">
        <f t="shared" si="35"/>
        <v/>
      </c>
      <c r="FP738" s="1288"/>
      <c r="FQ738" s="1288"/>
      <c r="FR738" s="1288"/>
      <c r="FS738" s="1276"/>
      <c r="FT738" s="1275">
        <f t="shared" si="36"/>
        <v>1585</v>
      </c>
      <c r="FU738" s="1288"/>
      <c r="FV738" s="1288"/>
      <c r="FW738" s="1288"/>
      <c r="FX738" s="1276"/>
      <c r="FY738" s="1275" t="str">
        <f t="shared" si="37"/>
        <v/>
      </c>
      <c r="FZ738" s="1288"/>
      <c r="GA738" s="1288"/>
      <c r="GB738" s="1288"/>
      <c r="GC738" s="1276"/>
    </row>
    <row r="739" spans="1:185" ht="12.95" customHeight="1">
      <c r="B739" s="1290" t="s">
        <v>165</v>
      </c>
      <c r="C739" s="1291"/>
      <c r="D739" s="1291"/>
      <c r="E739" s="1291"/>
      <c r="F739" s="1292"/>
      <c r="G739" s="1513">
        <v>14</v>
      </c>
      <c r="H739" s="1514"/>
      <c r="I739" s="1514"/>
      <c r="J739" s="1515"/>
      <c r="K739" s="1520">
        <v>1185</v>
      </c>
      <c r="L739" s="1521"/>
      <c r="M739" s="1521"/>
      <c r="N739" s="1522"/>
      <c r="O739" s="1406">
        <f>1947-T739</f>
        <v>1910</v>
      </c>
      <c r="P739" s="1407"/>
      <c r="Q739" s="1407"/>
      <c r="R739" s="1407"/>
      <c r="S739" s="1408"/>
      <c r="T739" s="1406">
        <v>37</v>
      </c>
      <c r="U739" s="1407"/>
      <c r="V739" s="1407"/>
      <c r="W739" s="1408"/>
      <c r="X739" s="1329">
        <f t="shared" si="10"/>
        <v>1947</v>
      </c>
      <c r="Y739" s="1330"/>
      <c r="Z739" s="1330"/>
      <c r="AA739" s="1330"/>
      <c r="AB739" s="1331"/>
      <c r="AC739" s="1517">
        <v>0.6</v>
      </c>
      <c r="AD739" s="1518"/>
      <c r="AE739" s="1518"/>
      <c r="AF739" s="1518"/>
      <c r="AG739" s="1519"/>
      <c r="AH739" s="1311">
        <f t="shared" si="38"/>
        <v>0.60018495684340323</v>
      </c>
      <c r="AI739" s="1312"/>
      <c r="AJ739" s="1313"/>
      <c r="AK739" s="1290" t="s">
        <v>589</v>
      </c>
      <c r="AL739" s="1291"/>
      <c r="AM739" s="1291"/>
      <c r="AN739" s="1291"/>
      <c r="AO739" s="1292"/>
      <c r="AP739" s="3"/>
      <c r="AQ739" s="3"/>
      <c r="AR739" s="3"/>
      <c r="AS739" s="3"/>
      <c r="AY739" s="1080"/>
      <c r="AZ739" s="118">
        <f t="shared" si="11"/>
        <v>3244</v>
      </c>
      <c r="BA739" s="3"/>
      <c r="BB739" s="3"/>
      <c r="BC739" s="3"/>
      <c r="BD739" s="3"/>
      <c r="BE739" s="204"/>
      <c r="BF739" s="294">
        <f t="shared" si="12"/>
        <v>14</v>
      </c>
      <c r="BG739" s="297">
        <f t="shared" si="13"/>
        <v>5.9071729957805907E-2</v>
      </c>
      <c r="BH739" s="298">
        <f t="shared" si="14"/>
        <v>3.5443037974683546E-2</v>
      </c>
      <c r="BI739" s="3"/>
      <c r="BJ739" s="3"/>
      <c r="BK739" s="3"/>
      <c r="BL739" s="3"/>
      <c r="BM739" s="3"/>
      <c r="BN739" s="3"/>
      <c r="BS739" s="294">
        <f t="shared" si="15"/>
        <v>14</v>
      </c>
      <c r="BT739" s="297">
        <f t="shared" si="16"/>
        <v>5.9071729957805907E-2</v>
      </c>
      <c r="BU739" s="298">
        <f t="shared" si="17"/>
        <v>3.545396369539091E-2</v>
      </c>
      <c r="BV739" s="3"/>
      <c r="BW739" s="3"/>
      <c r="BX739" s="3"/>
      <c r="BY739" s="3"/>
      <c r="BZ739" s="3"/>
      <c r="CA739" s="3"/>
      <c r="CB739" s="3"/>
      <c r="CC739" s="3"/>
      <c r="CE739" s="3"/>
      <c r="CF739" s="3"/>
      <c r="CG739" s="1275">
        <f t="shared" si="39"/>
        <v>0</v>
      </c>
      <c r="CH739" s="1276"/>
      <c r="CI739" s="1270">
        <f t="shared" si="40"/>
        <v>0</v>
      </c>
      <c r="CJ739" s="1272"/>
      <c r="CK739" s="1275">
        <f t="shared" si="18"/>
        <v>0</v>
      </c>
      <c r="CL739" s="1276"/>
      <c r="CM739" s="1270">
        <f t="shared" si="19"/>
        <v>0</v>
      </c>
      <c r="CN739" s="1272"/>
      <c r="CO739" s="3"/>
      <c r="CP739" s="1267">
        <f t="shared" si="20"/>
        <v>0</v>
      </c>
      <c r="CQ739" s="1268"/>
      <c r="CR739" s="1268"/>
      <c r="CS739" s="1268"/>
      <c r="CT739" s="1269"/>
      <c r="CU739" s="1289">
        <f t="shared" si="21"/>
        <v>0</v>
      </c>
      <c r="CV739" s="1289"/>
      <c r="CW739" s="1289"/>
      <c r="CX739" s="1289"/>
      <c r="CY739" s="1289"/>
      <c r="CZ739" s="1289">
        <f t="shared" si="22"/>
        <v>0</v>
      </c>
      <c r="DA739" s="1289"/>
      <c r="DB739" s="1289"/>
      <c r="DC739" s="1289"/>
      <c r="DD739" s="1289"/>
      <c r="DE739" s="1289">
        <f t="shared" si="23"/>
        <v>0</v>
      </c>
      <c r="DF739" s="1289"/>
      <c r="DG739" s="1289"/>
      <c r="DH739" s="1289"/>
      <c r="DI739" s="1289"/>
      <c r="DJ739" s="1289">
        <f t="shared" si="24"/>
        <v>14</v>
      </c>
      <c r="DK739" s="1289"/>
      <c r="DL739" s="1289"/>
      <c r="DM739" s="1289"/>
      <c r="DN739" s="1289"/>
      <c r="DO739" s="1289">
        <f t="shared" si="25"/>
        <v>0</v>
      </c>
      <c r="DP739" s="1289"/>
      <c r="DQ739" s="1289"/>
      <c r="DR739" s="1289"/>
      <c r="DS739" s="1289"/>
      <c r="DT739" s="6"/>
      <c r="DU739" s="1293">
        <f t="shared" si="26"/>
        <v>0</v>
      </c>
      <c r="DV739" s="1293"/>
      <c r="DW739" s="1293"/>
      <c r="DX739" s="1293"/>
      <c r="DY739" s="1293"/>
      <c r="DZ739" s="1293">
        <f t="shared" si="27"/>
        <v>0</v>
      </c>
      <c r="EA739" s="1293"/>
      <c r="EB739" s="1293"/>
      <c r="EC739" s="1293"/>
      <c r="ED739" s="1293"/>
      <c r="EE739" s="1293">
        <f t="shared" si="28"/>
        <v>0</v>
      </c>
      <c r="EF739" s="1293"/>
      <c r="EG739" s="1293"/>
      <c r="EH739" s="1293"/>
      <c r="EI739" s="1293"/>
      <c r="EJ739" s="1293">
        <f t="shared" si="29"/>
        <v>0</v>
      </c>
      <c r="EK739" s="1293"/>
      <c r="EL739" s="1293"/>
      <c r="EM739" s="1293"/>
      <c r="EN739" s="1293"/>
      <c r="EO739" s="1293">
        <f t="shared" si="30"/>
        <v>0</v>
      </c>
      <c r="EP739" s="1293"/>
      <c r="EQ739" s="1293"/>
      <c r="ER739" s="1293"/>
      <c r="ES739" s="1293"/>
      <c r="ET739" s="1293">
        <f t="shared" si="31"/>
        <v>0</v>
      </c>
      <c r="EU739" s="1293"/>
      <c r="EV739" s="1293"/>
      <c r="EW739" s="1293"/>
      <c r="EX739" s="1293"/>
      <c r="EZ739" s="1275" t="str">
        <f t="shared" si="32"/>
        <v/>
      </c>
      <c r="FA739" s="1288"/>
      <c r="FB739" s="1288"/>
      <c r="FC739" s="1288"/>
      <c r="FD739" s="1276"/>
      <c r="FE739" s="1275" t="str">
        <f t="shared" si="33"/>
        <v/>
      </c>
      <c r="FF739" s="1288"/>
      <c r="FG739" s="1288"/>
      <c r="FH739" s="1288"/>
      <c r="FI739" s="1276"/>
      <c r="FJ739" s="1275" t="str">
        <f t="shared" si="34"/>
        <v/>
      </c>
      <c r="FK739" s="1288"/>
      <c r="FL739" s="1288"/>
      <c r="FM739" s="1288"/>
      <c r="FN739" s="1276"/>
      <c r="FO739" s="1275" t="str">
        <f t="shared" si="35"/>
        <v/>
      </c>
      <c r="FP739" s="1288"/>
      <c r="FQ739" s="1288"/>
      <c r="FR739" s="1288"/>
      <c r="FS739" s="1276"/>
      <c r="FT739" s="1275">
        <f t="shared" si="36"/>
        <v>1910</v>
      </c>
      <c r="FU739" s="1288"/>
      <c r="FV739" s="1288"/>
      <c r="FW739" s="1288"/>
      <c r="FX739" s="1276"/>
      <c r="FY739" s="1275" t="str">
        <f t="shared" si="37"/>
        <v/>
      </c>
      <c r="FZ739" s="1288"/>
      <c r="GA739" s="1288"/>
      <c r="GB739" s="1288"/>
      <c r="GC739" s="1276"/>
    </row>
    <row r="740" spans="1:185" ht="12.95" customHeight="1">
      <c r="B740" s="1290" t="s">
        <v>165</v>
      </c>
      <c r="C740" s="1291"/>
      <c r="D740" s="1291"/>
      <c r="E740" s="1291"/>
      <c r="F740" s="1292"/>
      <c r="G740" s="1513">
        <v>16</v>
      </c>
      <c r="H740" s="1514"/>
      <c r="I740" s="1514"/>
      <c r="J740" s="1515"/>
      <c r="K740" s="1520">
        <v>1185</v>
      </c>
      <c r="L740" s="1521"/>
      <c r="M740" s="1521"/>
      <c r="N740" s="1522"/>
      <c r="O740" s="1406">
        <f>2271-T740</f>
        <v>2234</v>
      </c>
      <c r="P740" s="1407"/>
      <c r="Q740" s="1407"/>
      <c r="R740" s="1407"/>
      <c r="S740" s="1408"/>
      <c r="T740" s="1406">
        <v>37</v>
      </c>
      <c r="U740" s="1407"/>
      <c r="V740" s="1407"/>
      <c r="W740" s="1408"/>
      <c r="X740" s="1329">
        <f t="shared" si="10"/>
        <v>2271</v>
      </c>
      <c r="Y740" s="1330"/>
      <c r="Z740" s="1330"/>
      <c r="AA740" s="1330"/>
      <c r="AB740" s="1331"/>
      <c r="AC740" s="1517">
        <v>0.7</v>
      </c>
      <c r="AD740" s="1518"/>
      <c r="AE740" s="1518"/>
      <c r="AF740" s="1518"/>
      <c r="AG740" s="1519"/>
      <c r="AH740" s="1311">
        <f t="shared" si="38"/>
        <v>0.70006165228113437</v>
      </c>
      <c r="AI740" s="1312"/>
      <c r="AJ740" s="1313"/>
      <c r="AK740" s="1290" t="s">
        <v>589</v>
      </c>
      <c r="AL740" s="1291"/>
      <c r="AM740" s="1291"/>
      <c r="AN740" s="1291"/>
      <c r="AO740" s="1292"/>
      <c r="AP740" s="3"/>
      <c r="AQ740" s="3"/>
      <c r="AR740" s="3"/>
      <c r="AS740" s="3"/>
      <c r="AY740" s="1080"/>
      <c r="AZ740" s="118">
        <f t="shared" si="11"/>
        <v>3244</v>
      </c>
      <c r="BA740" s="3"/>
      <c r="BB740" s="3"/>
      <c r="BC740" s="3"/>
      <c r="BD740" s="3"/>
      <c r="BE740" s="204"/>
      <c r="BF740" s="294">
        <f t="shared" si="12"/>
        <v>16</v>
      </c>
      <c r="BG740" s="297">
        <f t="shared" si="13"/>
        <v>6.7510548523206745E-2</v>
      </c>
      <c r="BH740" s="298">
        <f t="shared" si="14"/>
        <v>4.7257383966244716E-2</v>
      </c>
      <c r="BI740" s="3"/>
      <c r="BJ740" s="3"/>
      <c r="BK740" s="3"/>
      <c r="BL740" s="3"/>
      <c r="BM740" s="3"/>
      <c r="BN740" s="3"/>
      <c r="BS740" s="294">
        <f t="shared" si="15"/>
        <v>16</v>
      </c>
      <c r="BT740" s="297">
        <f t="shared" si="16"/>
        <v>6.7510548523206745E-2</v>
      </c>
      <c r="BU740" s="298">
        <f t="shared" si="17"/>
        <v>4.7261546145561807E-2</v>
      </c>
      <c r="BV740" s="3"/>
      <c r="BW740" s="3"/>
      <c r="BX740" s="3"/>
      <c r="BY740" s="3"/>
      <c r="BZ740" s="3"/>
      <c r="CA740" s="3"/>
      <c r="CB740" s="3"/>
      <c r="CC740" s="3"/>
      <c r="CE740" s="3"/>
      <c r="CF740" s="3"/>
      <c r="CG740" s="1275">
        <f t="shared" si="39"/>
        <v>0</v>
      </c>
      <c r="CH740" s="1276"/>
      <c r="CI740" s="1270">
        <f t="shared" si="40"/>
        <v>0</v>
      </c>
      <c r="CJ740" s="1272"/>
      <c r="CK740" s="1275">
        <f t="shared" si="18"/>
        <v>0</v>
      </c>
      <c r="CL740" s="1276"/>
      <c r="CM740" s="1270">
        <f t="shared" si="19"/>
        <v>0</v>
      </c>
      <c r="CN740" s="1272"/>
      <c r="CO740" s="3"/>
      <c r="CP740" s="1267">
        <f t="shared" si="20"/>
        <v>0</v>
      </c>
      <c r="CQ740" s="1268"/>
      <c r="CR740" s="1268"/>
      <c r="CS740" s="1268"/>
      <c r="CT740" s="1269"/>
      <c r="CU740" s="1289">
        <f t="shared" si="21"/>
        <v>0</v>
      </c>
      <c r="CV740" s="1289"/>
      <c r="CW740" s="1289"/>
      <c r="CX740" s="1289"/>
      <c r="CY740" s="1289"/>
      <c r="CZ740" s="1289">
        <f t="shared" si="22"/>
        <v>0</v>
      </c>
      <c r="DA740" s="1289"/>
      <c r="DB740" s="1289"/>
      <c r="DC740" s="1289"/>
      <c r="DD740" s="1289"/>
      <c r="DE740" s="1289">
        <f t="shared" si="23"/>
        <v>0</v>
      </c>
      <c r="DF740" s="1289"/>
      <c r="DG740" s="1289"/>
      <c r="DH740" s="1289"/>
      <c r="DI740" s="1289"/>
      <c r="DJ740" s="1289">
        <f t="shared" si="24"/>
        <v>16</v>
      </c>
      <c r="DK740" s="1289"/>
      <c r="DL740" s="1289"/>
      <c r="DM740" s="1289"/>
      <c r="DN740" s="1289"/>
      <c r="DO740" s="1289">
        <f t="shared" si="25"/>
        <v>0</v>
      </c>
      <c r="DP740" s="1289"/>
      <c r="DQ740" s="1289"/>
      <c r="DR740" s="1289"/>
      <c r="DS740" s="1289"/>
      <c r="DT740" s="6"/>
      <c r="DU740" s="1293">
        <f t="shared" si="26"/>
        <v>0</v>
      </c>
      <c r="DV740" s="1293"/>
      <c r="DW740" s="1293"/>
      <c r="DX740" s="1293"/>
      <c r="DY740" s="1293"/>
      <c r="DZ740" s="1293">
        <f t="shared" si="27"/>
        <v>0</v>
      </c>
      <c r="EA740" s="1293"/>
      <c r="EB740" s="1293"/>
      <c r="EC740" s="1293"/>
      <c r="ED740" s="1293"/>
      <c r="EE740" s="1293">
        <f t="shared" si="28"/>
        <v>0</v>
      </c>
      <c r="EF740" s="1293"/>
      <c r="EG740" s="1293"/>
      <c r="EH740" s="1293"/>
      <c r="EI740" s="1293"/>
      <c r="EJ740" s="1293">
        <f t="shared" si="29"/>
        <v>0</v>
      </c>
      <c r="EK740" s="1293"/>
      <c r="EL740" s="1293"/>
      <c r="EM740" s="1293"/>
      <c r="EN740" s="1293"/>
      <c r="EO740" s="1293">
        <f t="shared" si="30"/>
        <v>0</v>
      </c>
      <c r="EP740" s="1293"/>
      <c r="EQ740" s="1293"/>
      <c r="ER740" s="1293"/>
      <c r="ES740" s="1293"/>
      <c r="ET740" s="1293">
        <f t="shared" si="31"/>
        <v>0</v>
      </c>
      <c r="EU740" s="1293"/>
      <c r="EV740" s="1293"/>
      <c r="EW740" s="1293"/>
      <c r="EX740" s="1293"/>
      <c r="EZ740" s="1275" t="str">
        <f t="shared" si="32"/>
        <v/>
      </c>
      <c r="FA740" s="1288"/>
      <c r="FB740" s="1288"/>
      <c r="FC740" s="1288"/>
      <c r="FD740" s="1276"/>
      <c r="FE740" s="1275" t="str">
        <f t="shared" si="33"/>
        <v/>
      </c>
      <c r="FF740" s="1288"/>
      <c r="FG740" s="1288"/>
      <c r="FH740" s="1288"/>
      <c r="FI740" s="1276"/>
      <c r="FJ740" s="1275" t="str">
        <f t="shared" si="34"/>
        <v/>
      </c>
      <c r="FK740" s="1288"/>
      <c r="FL740" s="1288"/>
      <c r="FM740" s="1288"/>
      <c r="FN740" s="1276"/>
      <c r="FO740" s="1275" t="str">
        <f t="shared" si="35"/>
        <v/>
      </c>
      <c r="FP740" s="1288"/>
      <c r="FQ740" s="1288"/>
      <c r="FR740" s="1288"/>
      <c r="FS740" s="1276"/>
      <c r="FT740" s="1275">
        <f t="shared" si="36"/>
        <v>2234</v>
      </c>
      <c r="FU740" s="1288"/>
      <c r="FV740" s="1288"/>
      <c r="FW740" s="1288"/>
      <c r="FX740" s="1276"/>
      <c r="FY740" s="1275" t="str">
        <f t="shared" si="37"/>
        <v/>
      </c>
      <c r="FZ740" s="1288"/>
      <c r="GA740" s="1288"/>
      <c r="GB740" s="1288"/>
      <c r="GC740" s="1276"/>
    </row>
    <row r="741" spans="1:185" ht="12.95" customHeight="1">
      <c r="B741" s="1290"/>
      <c r="C741" s="1291"/>
      <c r="D741" s="1291"/>
      <c r="E741" s="1291"/>
      <c r="F741" s="1292"/>
      <c r="G741" s="1513"/>
      <c r="H741" s="1514"/>
      <c r="I741" s="1514"/>
      <c r="J741" s="1515"/>
      <c r="K741" s="1520"/>
      <c r="L741" s="1521"/>
      <c r="M741" s="1521"/>
      <c r="N741" s="1522"/>
      <c r="O741" s="1406"/>
      <c r="P741" s="1407"/>
      <c r="Q741" s="1407"/>
      <c r="R741" s="1407"/>
      <c r="S741" s="1408"/>
      <c r="T741" s="1406"/>
      <c r="U741" s="1407"/>
      <c r="V741" s="1407"/>
      <c r="W741" s="1408"/>
      <c r="X741" s="1329">
        <f t="shared" si="10"/>
        <v>0</v>
      </c>
      <c r="Y741" s="1330"/>
      <c r="Z741" s="1330"/>
      <c r="AA741" s="1330"/>
      <c r="AB741" s="1331"/>
      <c r="AC741" s="1517"/>
      <c r="AD741" s="1518"/>
      <c r="AE741" s="1518"/>
      <c r="AF741" s="1518"/>
      <c r="AG741" s="1519"/>
      <c r="AH741" s="1311" t="str">
        <f t="shared" si="38"/>
        <v/>
      </c>
      <c r="AI741" s="1312"/>
      <c r="AJ741" s="1313"/>
      <c r="AK741" s="1290" t="s">
        <v>589</v>
      </c>
      <c r="AL741" s="1291"/>
      <c r="AM741" s="1291"/>
      <c r="AN741" s="1291"/>
      <c r="AO741" s="1292"/>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75">
        <f t="shared" si="39"/>
        <v>0</v>
      </c>
      <c r="CH741" s="1276"/>
      <c r="CI741" s="1270">
        <f t="shared" si="40"/>
        <v>0</v>
      </c>
      <c r="CJ741" s="1272"/>
      <c r="CK741" s="1275">
        <f t="shared" si="18"/>
        <v>0</v>
      </c>
      <c r="CL741" s="1276"/>
      <c r="CM741" s="1270">
        <f t="shared" si="19"/>
        <v>0</v>
      </c>
      <c r="CN741" s="1272"/>
      <c r="CO741" s="3"/>
      <c r="CP741" s="1267">
        <f t="shared" si="20"/>
        <v>0</v>
      </c>
      <c r="CQ741" s="1268"/>
      <c r="CR741" s="1268"/>
      <c r="CS741" s="1268"/>
      <c r="CT741" s="1269"/>
      <c r="CU741" s="1289">
        <f t="shared" si="21"/>
        <v>0</v>
      </c>
      <c r="CV741" s="1289"/>
      <c r="CW741" s="1289"/>
      <c r="CX741" s="1289"/>
      <c r="CY741" s="1289"/>
      <c r="CZ741" s="1289">
        <f t="shared" si="22"/>
        <v>0</v>
      </c>
      <c r="DA741" s="1289"/>
      <c r="DB741" s="1289"/>
      <c r="DC741" s="1289"/>
      <c r="DD741" s="1289"/>
      <c r="DE741" s="1289">
        <f t="shared" si="23"/>
        <v>0</v>
      </c>
      <c r="DF741" s="1289"/>
      <c r="DG741" s="1289"/>
      <c r="DH741" s="1289"/>
      <c r="DI741" s="1289"/>
      <c r="DJ741" s="1289">
        <f t="shared" si="24"/>
        <v>0</v>
      </c>
      <c r="DK741" s="1289"/>
      <c r="DL741" s="1289"/>
      <c r="DM741" s="1289"/>
      <c r="DN741" s="1289"/>
      <c r="DO741" s="1289">
        <f t="shared" si="25"/>
        <v>0</v>
      </c>
      <c r="DP741" s="1289"/>
      <c r="DQ741" s="1289"/>
      <c r="DR741" s="1289"/>
      <c r="DS741" s="1289"/>
      <c r="DT741" s="6"/>
      <c r="DU741" s="1293">
        <f t="shared" si="26"/>
        <v>0</v>
      </c>
      <c r="DV741" s="1293"/>
      <c r="DW741" s="1293"/>
      <c r="DX741" s="1293"/>
      <c r="DY741" s="1293"/>
      <c r="DZ741" s="1293">
        <f t="shared" si="27"/>
        <v>0</v>
      </c>
      <c r="EA741" s="1293"/>
      <c r="EB741" s="1293"/>
      <c r="EC741" s="1293"/>
      <c r="ED741" s="1293"/>
      <c r="EE741" s="1293">
        <f t="shared" si="28"/>
        <v>0</v>
      </c>
      <c r="EF741" s="1293"/>
      <c r="EG741" s="1293"/>
      <c r="EH741" s="1293"/>
      <c r="EI741" s="1293"/>
      <c r="EJ741" s="1293">
        <f t="shared" si="29"/>
        <v>0</v>
      </c>
      <c r="EK741" s="1293"/>
      <c r="EL741" s="1293"/>
      <c r="EM741" s="1293"/>
      <c r="EN741" s="1293"/>
      <c r="EO741" s="1293">
        <f t="shared" si="30"/>
        <v>0</v>
      </c>
      <c r="EP741" s="1293"/>
      <c r="EQ741" s="1293"/>
      <c r="ER741" s="1293"/>
      <c r="ES741" s="1293"/>
      <c r="ET741" s="1293">
        <f t="shared" si="31"/>
        <v>0</v>
      </c>
      <c r="EU741" s="1293"/>
      <c r="EV741" s="1293"/>
      <c r="EW741" s="1293"/>
      <c r="EX741" s="1293"/>
      <c r="EZ741" s="1275" t="str">
        <f t="shared" si="32"/>
        <v/>
      </c>
      <c r="FA741" s="1288"/>
      <c r="FB741" s="1288"/>
      <c r="FC741" s="1288"/>
      <c r="FD741" s="1276"/>
      <c r="FE741" s="1275" t="str">
        <f t="shared" si="33"/>
        <v/>
      </c>
      <c r="FF741" s="1288"/>
      <c r="FG741" s="1288"/>
      <c r="FH741" s="1288"/>
      <c r="FI741" s="1276"/>
      <c r="FJ741" s="1275" t="str">
        <f t="shared" si="34"/>
        <v/>
      </c>
      <c r="FK741" s="1288"/>
      <c r="FL741" s="1288"/>
      <c r="FM741" s="1288"/>
      <c r="FN741" s="1276"/>
      <c r="FO741" s="1275" t="str">
        <f t="shared" si="35"/>
        <v/>
      </c>
      <c r="FP741" s="1288"/>
      <c r="FQ741" s="1288"/>
      <c r="FR741" s="1288"/>
      <c r="FS741" s="1276"/>
      <c r="FT741" s="1275" t="str">
        <f t="shared" si="36"/>
        <v/>
      </c>
      <c r="FU741" s="1288"/>
      <c r="FV741" s="1288"/>
      <c r="FW741" s="1288"/>
      <c r="FX741" s="1276"/>
      <c r="FY741" s="1275" t="str">
        <f t="shared" si="37"/>
        <v/>
      </c>
      <c r="FZ741" s="1288"/>
      <c r="GA741" s="1288"/>
      <c r="GB741" s="1288"/>
      <c r="GC741" s="1276"/>
    </row>
    <row r="742" spans="1:185" ht="12.95" customHeight="1">
      <c r="B742" s="1290"/>
      <c r="C742" s="1291"/>
      <c r="D742" s="1291"/>
      <c r="E742" s="1291"/>
      <c r="F742" s="1292"/>
      <c r="G742" s="1513"/>
      <c r="H742" s="1514"/>
      <c r="I742" s="1514"/>
      <c r="J742" s="1515"/>
      <c r="K742" s="1520"/>
      <c r="L742" s="1521"/>
      <c r="M742" s="1521"/>
      <c r="N742" s="1522"/>
      <c r="O742" s="1406"/>
      <c r="P742" s="1407"/>
      <c r="Q742" s="1407"/>
      <c r="R742" s="1407"/>
      <c r="S742" s="1408"/>
      <c r="T742" s="1406"/>
      <c r="U742" s="1407"/>
      <c r="V742" s="1407"/>
      <c r="W742" s="1408"/>
      <c r="X742" s="1329">
        <f t="shared" si="10"/>
        <v>0</v>
      </c>
      <c r="Y742" s="1330"/>
      <c r="Z742" s="1330"/>
      <c r="AA742" s="1330"/>
      <c r="AB742" s="1331"/>
      <c r="AC742" s="1517"/>
      <c r="AD742" s="1518"/>
      <c r="AE742" s="1518"/>
      <c r="AF742" s="1518"/>
      <c r="AG742" s="1519"/>
      <c r="AH742" s="1311" t="str">
        <f t="shared" si="38"/>
        <v/>
      </c>
      <c r="AI742" s="1312"/>
      <c r="AJ742" s="1313"/>
      <c r="AK742" s="1290" t="s">
        <v>589</v>
      </c>
      <c r="AL742" s="1291"/>
      <c r="AM742" s="1291"/>
      <c r="AN742" s="1291"/>
      <c r="AO742" s="1292"/>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75">
        <f t="shared" si="39"/>
        <v>0</v>
      </c>
      <c r="CH742" s="1276"/>
      <c r="CI742" s="1270">
        <f t="shared" si="40"/>
        <v>0</v>
      </c>
      <c r="CJ742" s="1272"/>
      <c r="CK742" s="1275">
        <f t="shared" si="18"/>
        <v>0</v>
      </c>
      <c r="CL742" s="1276"/>
      <c r="CM742" s="1270">
        <f t="shared" si="19"/>
        <v>0</v>
      </c>
      <c r="CN742" s="1272"/>
      <c r="CO742" s="3"/>
      <c r="CP742" s="1267">
        <f t="shared" si="20"/>
        <v>0</v>
      </c>
      <c r="CQ742" s="1268"/>
      <c r="CR742" s="1268"/>
      <c r="CS742" s="1268"/>
      <c r="CT742" s="1269"/>
      <c r="CU742" s="1289">
        <f t="shared" si="21"/>
        <v>0</v>
      </c>
      <c r="CV742" s="1289"/>
      <c r="CW742" s="1289"/>
      <c r="CX742" s="1289"/>
      <c r="CY742" s="1289"/>
      <c r="CZ742" s="1289">
        <f t="shared" si="22"/>
        <v>0</v>
      </c>
      <c r="DA742" s="1289"/>
      <c r="DB742" s="1289"/>
      <c r="DC742" s="1289"/>
      <c r="DD742" s="1289"/>
      <c r="DE742" s="1289">
        <f t="shared" si="23"/>
        <v>0</v>
      </c>
      <c r="DF742" s="1289"/>
      <c r="DG742" s="1289"/>
      <c r="DH742" s="1289"/>
      <c r="DI742" s="1289"/>
      <c r="DJ742" s="1289">
        <f t="shared" si="24"/>
        <v>0</v>
      </c>
      <c r="DK742" s="1289"/>
      <c r="DL742" s="1289"/>
      <c r="DM742" s="1289"/>
      <c r="DN742" s="1289"/>
      <c r="DO742" s="1289">
        <f t="shared" si="25"/>
        <v>0</v>
      </c>
      <c r="DP742" s="1289"/>
      <c r="DQ742" s="1289"/>
      <c r="DR742" s="1289"/>
      <c r="DS742" s="1289"/>
      <c r="DT742" s="6"/>
      <c r="DU742" s="1293">
        <f t="shared" si="26"/>
        <v>0</v>
      </c>
      <c r="DV742" s="1293"/>
      <c r="DW742" s="1293"/>
      <c r="DX742" s="1293"/>
      <c r="DY742" s="1293"/>
      <c r="DZ742" s="1293">
        <f t="shared" si="27"/>
        <v>0</v>
      </c>
      <c r="EA742" s="1293"/>
      <c r="EB742" s="1293"/>
      <c r="EC742" s="1293"/>
      <c r="ED742" s="1293"/>
      <c r="EE742" s="1293">
        <f t="shared" si="28"/>
        <v>0</v>
      </c>
      <c r="EF742" s="1293"/>
      <c r="EG742" s="1293"/>
      <c r="EH742" s="1293"/>
      <c r="EI742" s="1293"/>
      <c r="EJ742" s="1293">
        <f t="shared" si="29"/>
        <v>0</v>
      </c>
      <c r="EK742" s="1293"/>
      <c r="EL742" s="1293"/>
      <c r="EM742" s="1293"/>
      <c r="EN742" s="1293"/>
      <c r="EO742" s="1293">
        <f t="shared" si="30"/>
        <v>0</v>
      </c>
      <c r="EP742" s="1293"/>
      <c r="EQ742" s="1293"/>
      <c r="ER742" s="1293"/>
      <c r="ES742" s="1293"/>
      <c r="ET742" s="1293">
        <f t="shared" si="31"/>
        <v>0</v>
      </c>
      <c r="EU742" s="1293"/>
      <c r="EV742" s="1293"/>
      <c r="EW742" s="1293"/>
      <c r="EX742" s="1293"/>
      <c r="EZ742" s="1275" t="str">
        <f t="shared" si="32"/>
        <v/>
      </c>
      <c r="FA742" s="1288"/>
      <c r="FB742" s="1288"/>
      <c r="FC742" s="1288"/>
      <c r="FD742" s="1276"/>
      <c r="FE742" s="1275" t="str">
        <f t="shared" si="33"/>
        <v/>
      </c>
      <c r="FF742" s="1288"/>
      <c r="FG742" s="1288"/>
      <c r="FH742" s="1288"/>
      <c r="FI742" s="1276"/>
      <c r="FJ742" s="1275" t="str">
        <f t="shared" si="34"/>
        <v/>
      </c>
      <c r="FK742" s="1288"/>
      <c r="FL742" s="1288"/>
      <c r="FM742" s="1288"/>
      <c r="FN742" s="1276"/>
      <c r="FO742" s="1275" t="str">
        <f t="shared" si="35"/>
        <v/>
      </c>
      <c r="FP742" s="1288"/>
      <c r="FQ742" s="1288"/>
      <c r="FR742" s="1288"/>
      <c r="FS742" s="1276"/>
      <c r="FT742" s="1275" t="str">
        <f t="shared" si="36"/>
        <v/>
      </c>
      <c r="FU742" s="1288"/>
      <c r="FV742" s="1288"/>
      <c r="FW742" s="1288"/>
      <c r="FX742" s="1276"/>
      <c r="FY742" s="1275" t="str">
        <f t="shared" si="37"/>
        <v/>
      </c>
      <c r="FZ742" s="1288"/>
      <c r="GA742" s="1288"/>
      <c r="GB742" s="1288"/>
      <c r="GC742" s="1276"/>
    </row>
    <row r="743" spans="1:185" ht="12.95" customHeight="1">
      <c r="B743" s="1290"/>
      <c r="C743" s="1291"/>
      <c r="D743" s="1291"/>
      <c r="E743" s="1291"/>
      <c r="F743" s="1292"/>
      <c r="G743" s="1513"/>
      <c r="H743" s="1514"/>
      <c r="I743" s="1514"/>
      <c r="J743" s="1515"/>
      <c r="K743" s="1520"/>
      <c r="L743" s="1521"/>
      <c r="M743" s="1521"/>
      <c r="N743" s="1522"/>
      <c r="O743" s="1406"/>
      <c r="P743" s="1407"/>
      <c r="Q743" s="1407"/>
      <c r="R743" s="1407"/>
      <c r="S743" s="1408"/>
      <c r="T743" s="1406"/>
      <c r="U743" s="1407"/>
      <c r="V743" s="1407"/>
      <c r="W743" s="1408"/>
      <c r="X743" s="1329">
        <f t="shared" si="10"/>
        <v>0</v>
      </c>
      <c r="Y743" s="1330"/>
      <c r="Z743" s="1330"/>
      <c r="AA743" s="1330"/>
      <c r="AB743" s="1331"/>
      <c r="AC743" s="1517"/>
      <c r="AD743" s="1518"/>
      <c r="AE743" s="1518"/>
      <c r="AF743" s="1518"/>
      <c r="AG743" s="1519"/>
      <c r="AH743" s="1311" t="str">
        <f t="shared" si="38"/>
        <v/>
      </c>
      <c r="AI743" s="1312"/>
      <c r="AJ743" s="1313"/>
      <c r="AK743" s="1290" t="s">
        <v>589</v>
      </c>
      <c r="AL743" s="1291"/>
      <c r="AM743" s="1291"/>
      <c r="AN743" s="1291"/>
      <c r="AO743" s="1292"/>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75">
        <f t="shared" si="39"/>
        <v>0</v>
      </c>
      <c r="CH743" s="1276"/>
      <c r="CI743" s="1270">
        <f t="shared" si="40"/>
        <v>0</v>
      </c>
      <c r="CJ743" s="1272"/>
      <c r="CK743" s="1275">
        <f t="shared" si="18"/>
        <v>0</v>
      </c>
      <c r="CL743" s="1276"/>
      <c r="CM743" s="1270">
        <f t="shared" si="19"/>
        <v>0</v>
      </c>
      <c r="CN743" s="1272"/>
      <c r="CO743" s="3"/>
      <c r="CP743" s="1267">
        <f t="shared" si="20"/>
        <v>0</v>
      </c>
      <c r="CQ743" s="1268"/>
      <c r="CR743" s="1268"/>
      <c r="CS743" s="1268"/>
      <c r="CT743" s="1269"/>
      <c r="CU743" s="1289">
        <f t="shared" si="21"/>
        <v>0</v>
      </c>
      <c r="CV743" s="1289"/>
      <c r="CW743" s="1289"/>
      <c r="CX743" s="1289"/>
      <c r="CY743" s="1289"/>
      <c r="CZ743" s="1289">
        <f t="shared" si="22"/>
        <v>0</v>
      </c>
      <c r="DA743" s="1289"/>
      <c r="DB743" s="1289"/>
      <c r="DC743" s="1289"/>
      <c r="DD743" s="1289"/>
      <c r="DE743" s="1289">
        <f t="shared" si="23"/>
        <v>0</v>
      </c>
      <c r="DF743" s="1289"/>
      <c r="DG743" s="1289"/>
      <c r="DH743" s="1289"/>
      <c r="DI743" s="1289"/>
      <c r="DJ743" s="1289">
        <f t="shared" si="24"/>
        <v>0</v>
      </c>
      <c r="DK743" s="1289"/>
      <c r="DL743" s="1289"/>
      <c r="DM743" s="1289"/>
      <c r="DN743" s="1289"/>
      <c r="DO743" s="1289">
        <f t="shared" si="25"/>
        <v>0</v>
      </c>
      <c r="DP743" s="1289"/>
      <c r="DQ743" s="1289"/>
      <c r="DR743" s="1289"/>
      <c r="DS743" s="1289"/>
      <c r="DT743" s="6"/>
      <c r="DU743" s="1293">
        <f t="shared" si="26"/>
        <v>0</v>
      </c>
      <c r="DV743" s="1293"/>
      <c r="DW743" s="1293"/>
      <c r="DX743" s="1293"/>
      <c r="DY743" s="1293"/>
      <c r="DZ743" s="1293">
        <f t="shared" si="27"/>
        <v>0</v>
      </c>
      <c r="EA743" s="1293"/>
      <c r="EB743" s="1293"/>
      <c r="EC743" s="1293"/>
      <c r="ED743" s="1293"/>
      <c r="EE743" s="1293">
        <f t="shared" si="28"/>
        <v>0</v>
      </c>
      <c r="EF743" s="1293"/>
      <c r="EG743" s="1293"/>
      <c r="EH743" s="1293"/>
      <c r="EI743" s="1293"/>
      <c r="EJ743" s="1293">
        <f t="shared" si="29"/>
        <v>0</v>
      </c>
      <c r="EK743" s="1293"/>
      <c r="EL743" s="1293"/>
      <c r="EM743" s="1293"/>
      <c r="EN743" s="1293"/>
      <c r="EO743" s="1293">
        <f t="shared" si="30"/>
        <v>0</v>
      </c>
      <c r="EP743" s="1293"/>
      <c r="EQ743" s="1293"/>
      <c r="ER743" s="1293"/>
      <c r="ES743" s="1293"/>
      <c r="ET743" s="1293">
        <f t="shared" si="31"/>
        <v>0</v>
      </c>
      <c r="EU743" s="1293"/>
      <c r="EV743" s="1293"/>
      <c r="EW743" s="1293"/>
      <c r="EX743" s="1293"/>
      <c r="EZ743" s="1275" t="str">
        <f t="shared" si="32"/>
        <v/>
      </c>
      <c r="FA743" s="1288"/>
      <c r="FB743" s="1288"/>
      <c r="FC743" s="1288"/>
      <c r="FD743" s="1276"/>
      <c r="FE743" s="1275" t="str">
        <f t="shared" si="33"/>
        <v/>
      </c>
      <c r="FF743" s="1288"/>
      <c r="FG743" s="1288"/>
      <c r="FH743" s="1288"/>
      <c r="FI743" s="1276"/>
      <c r="FJ743" s="1275" t="str">
        <f t="shared" si="34"/>
        <v/>
      </c>
      <c r="FK743" s="1288"/>
      <c r="FL743" s="1288"/>
      <c r="FM743" s="1288"/>
      <c r="FN743" s="1276"/>
      <c r="FO743" s="1275" t="str">
        <f t="shared" si="35"/>
        <v/>
      </c>
      <c r="FP743" s="1288"/>
      <c r="FQ743" s="1288"/>
      <c r="FR743" s="1288"/>
      <c r="FS743" s="1276"/>
      <c r="FT743" s="1275" t="str">
        <f t="shared" si="36"/>
        <v/>
      </c>
      <c r="FU743" s="1288"/>
      <c r="FV743" s="1288"/>
      <c r="FW743" s="1288"/>
      <c r="FX743" s="1276"/>
      <c r="FY743" s="1275" t="str">
        <f t="shared" si="37"/>
        <v/>
      </c>
      <c r="FZ743" s="1288"/>
      <c r="GA743" s="1288"/>
      <c r="GB743" s="1288"/>
      <c r="GC743" s="1276"/>
    </row>
    <row r="744" spans="1:185" ht="12.95" customHeight="1">
      <c r="B744" s="1290"/>
      <c r="C744" s="1291"/>
      <c r="D744" s="1291"/>
      <c r="E744" s="1291"/>
      <c r="F744" s="1292"/>
      <c r="G744" s="1513"/>
      <c r="H744" s="1514"/>
      <c r="I744" s="1514"/>
      <c r="J744" s="1515"/>
      <c r="K744" s="1520"/>
      <c r="L744" s="1521"/>
      <c r="M744" s="1521"/>
      <c r="N744" s="1522"/>
      <c r="O744" s="1406"/>
      <c r="P744" s="1407"/>
      <c r="Q744" s="1407"/>
      <c r="R744" s="1407"/>
      <c r="S744" s="1408"/>
      <c r="T744" s="1406"/>
      <c r="U744" s="1407"/>
      <c r="V744" s="1407"/>
      <c r="W744" s="1408"/>
      <c r="X744" s="1329">
        <f t="shared" si="10"/>
        <v>0</v>
      </c>
      <c r="Y744" s="1330"/>
      <c r="Z744" s="1330"/>
      <c r="AA744" s="1330"/>
      <c r="AB744" s="1331"/>
      <c r="AC744" s="1517"/>
      <c r="AD744" s="1518"/>
      <c r="AE744" s="1518"/>
      <c r="AF744" s="1518"/>
      <c r="AG744" s="1519"/>
      <c r="AH744" s="1311" t="str">
        <f t="shared" si="38"/>
        <v/>
      </c>
      <c r="AI744" s="1312"/>
      <c r="AJ744" s="1313"/>
      <c r="AK744" s="1290" t="s">
        <v>589</v>
      </c>
      <c r="AL744" s="1291"/>
      <c r="AM744" s="1291"/>
      <c r="AN744" s="1291"/>
      <c r="AO744" s="1292"/>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75">
        <f t="shared" si="39"/>
        <v>0</v>
      </c>
      <c r="CH744" s="1276"/>
      <c r="CI744" s="1270">
        <f t="shared" si="40"/>
        <v>0</v>
      </c>
      <c r="CJ744" s="1272"/>
      <c r="CK744" s="1275">
        <f t="shared" si="18"/>
        <v>0</v>
      </c>
      <c r="CL744" s="1276"/>
      <c r="CM744" s="1270">
        <f t="shared" si="19"/>
        <v>0</v>
      </c>
      <c r="CN744" s="1272"/>
      <c r="CO744" s="3"/>
      <c r="CP744" s="1267">
        <f t="shared" si="20"/>
        <v>0</v>
      </c>
      <c r="CQ744" s="1268"/>
      <c r="CR744" s="1268"/>
      <c r="CS744" s="1268"/>
      <c r="CT744" s="1269"/>
      <c r="CU744" s="1289">
        <f t="shared" si="21"/>
        <v>0</v>
      </c>
      <c r="CV744" s="1289"/>
      <c r="CW744" s="1289"/>
      <c r="CX744" s="1289"/>
      <c r="CY744" s="1289"/>
      <c r="CZ744" s="1289">
        <f t="shared" si="22"/>
        <v>0</v>
      </c>
      <c r="DA744" s="1289"/>
      <c r="DB744" s="1289"/>
      <c r="DC744" s="1289"/>
      <c r="DD744" s="1289"/>
      <c r="DE744" s="1289">
        <f t="shared" si="23"/>
        <v>0</v>
      </c>
      <c r="DF744" s="1289"/>
      <c r="DG744" s="1289"/>
      <c r="DH744" s="1289"/>
      <c r="DI744" s="1289"/>
      <c r="DJ744" s="1289">
        <f t="shared" si="24"/>
        <v>0</v>
      </c>
      <c r="DK744" s="1289"/>
      <c r="DL744" s="1289"/>
      <c r="DM744" s="1289"/>
      <c r="DN744" s="1289"/>
      <c r="DO744" s="1289">
        <f t="shared" si="25"/>
        <v>0</v>
      </c>
      <c r="DP744" s="1289"/>
      <c r="DQ744" s="1289"/>
      <c r="DR744" s="1289"/>
      <c r="DS744" s="1289"/>
      <c r="DT744" s="6"/>
      <c r="DU744" s="1293">
        <f t="shared" si="26"/>
        <v>0</v>
      </c>
      <c r="DV744" s="1293"/>
      <c r="DW744" s="1293"/>
      <c r="DX744" s="1293"/>
      <c r="DY744" s="1293"/>
      <c r="DZ744" s="1293">
        <f t="shared" si="27"/>
        <v>0</v>
      </c>
      <c r="EA744" s="1293"/>
      <c r="EB744" s="1293"/>
      <c r="EC744" s="1293"/>
      <c r="ED744" s="1293"/>
      <c r="EE744" s="1293">
        <f t="shared" si="28"/>
        <v>0</v>
      </c>
      <c r="EF744" s="1293"/>
      <c r="EG744" s="1293"/>
      <c r="EH744" s="1293"/>
      <c r="EI744" s="1293"/>
      <c r="EJ744" s="1293">
        <f t="shared" si="29"/>
        <v>0</v>
      </c>
      <c r="EK744" s="1293"/>
      <c r="EL744" s="1293"/>
      <c r="EM744" s="1293"/>
      <c r="EN744" s="1293"/>
      <c r="EO744" s="1293">
        <f t="shared" si="30"/>
        <v>0</v>
      </c>
      <c r="EP744" s="1293"/>
      <c r="EQ744" s="1293"/>
      <c r="ER744" s="1293"/>
      <c r="ES744" s="1293"/>
      <c r="ET744" s="1293">
        <f t="shared" si="31"/>
        <v>0</v>
      </c>
      <c r="EU744" s="1293"/>
      <c r="EV744" s="1293"/>
      <c r="EW744" s="1293"/>
      <c r="EX744" s="1293"/>
      <c r="EZ744" s="1275" t="str">
        <f t="shared" si="32"/>
        <v/>
      </c>
      <c r="FA744" s="1288"/>
      <c r="FB744" s="1288"/>
      <c r="FC744" s="1288"/>
      <c r="FD744" s="1276"/>
      <c r="FE744" s="1275" t="str">
        <f t="shared" si="33"/>
        <v/>
      </c>
      <c r="FF744" s="1288"/>
      <c r="FG744" s="1288"/>
      <c r="FH744" s="1288"/>
      <c r="FI744" s="1276"/>
      <c r="FJ744" s="1275" t="str">
        <f t="shared" si="34"/>
        <v/>
      </c>
      <c r="FK744" s="1288"/>
      <c r="FL744" s="1288"/>
      <c r="FM744" s="1288"/>
      <c r="FN744" s="1276"/>
      <c r="FO744" s="1275" t="str">
        <f t="shared" si="35"/>
        <v/>
      </c>
      <c r="FP744" s="1288"/>
      <c r="FQ744" s="1288"/>
      <c r="FR744" s="1288"/>
      <c r="FS744" s="1276"/>
      <c r="FT744" s="1275" t="str">
        <f t="shared" si="36"/>
        <v/>
      </c>
      <c r="FU744" s="1288"/>
      <c r="FV744" s="1288"/>
      <c r="FW744" s="1288"/>
      <c r="FX744" s="1276"/>
      <c r="FY744" s="1275" t="str">
        <f t="shared" si="37"/>
        <v/>
      </c>
      <c r="FZ744" s="1288"/>
      <c r="GA744" s="1288"/>
      <c r="GB744" s="1288"/>
      <c r="GC744" s="1276"/>
    </row>
    <row r="745" spans="1:185" ht="12.95" customHeight="1">
      <c r="B745" s="1290"/>
      <c r="C745" s="1291"/>
      <c r="D745" s="1291"/>
      <c r="E745" s="1291"/>
      <c r="F745" s="1292"/>
      <c r="G745" s="1513"/>
      <c r="H745" s="1514"/>
      <c r="I745" s="1514"/>
      <c r="J745" s="1515"/>
      <c r="K745" s="1520"/>
      <c r="L745" s="1521"/>
      <c r="M745" s="1521"/>
      <c r="N745" s="1522"/>
      <c r="O745" s="1406"/>
      <c r="P745" s="1407"/>
      <c r="Q745" s="1407"/>
      <c r="R745" s="1407"/>
      <c r="S745" s="1408"/>
      <c r="T745" s="1406"/>
      <c r="U745" s="1407"/>
      <c r="V745" s="1407"/>
      <c r="W745" s="1408"/>
      <c r="X745" s="1329">
        <f t="shared" si="10"/>
        <v>0</v>
      </c>
      <c r="Y745" s="1330"/>
      <c r="Z745" s="1330"/>
      <c r="AA745" s="1330"/>
      <c r="AB745" s="1331"/>
      <c r="AC745" s="1517"/>
      <c r="AD745" s="1518"/>
      <c r="AE745" s="1518"/>
      <c r="AF745" s="1518"/>
      <c r="AG745" s="1519"/>
      <c r="AH745" s="1311" t="str">
        <f t="shared" si="38"/>
        <v/>
      </c>
      <c r="AI745" s="1312"/>
      <c r="AJ745" s="1313"/>
      <c r="AK745" s="1290" t="s">
        <v>589</v>
      </c>
      <c r="AL745" s="1291"/>
      <c r="AM745" s="1291"/>
      <c r="AN745" s="1291"/>
      <c r="AO745" s="1292"/>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75">
        <f t="shared" si="39"/>
        <v>0</v>
      </c>
      <c r="CH745" s="1276"/>
      <c r="CI745" s="1270">
        <f t="shared" si="40"/>
        <v>0</v>
      </c>
      <c r="CJ745" s="1272"/>
      <c r="CK745" s="1275">
        <f t="shared" si="18"/>
        <v>0</v>
      </c>
      <c r="CL745" s="1276"/>
      <c r="CM745" s="1270">
        <f t="shared" si="19"/>
        <v>0</v>
      </c>
      <c r="CN745" s="1272"/>
      <c r="CO745" s="3"/>
      <c r="CP745" s="1267">
        <f t="shared" si="20"/>
        <v>0</v>
      </c>
      <c r="CQ745" s="1268"/>
      <c r="CR745" s="1268"/>
      <c r="CS745" s="1268"/>
      <c r="CT745" s="1269"/>
      <c r="CU745" s="1289">
        <f t="shared" si="21"/>
        <v>0</v>
      </c>
      <c r="CV745" s="1289"/>
      <c r="CW745" s="1289"/>
      <c r="CX745" s="1289"/>
      <c r="CY745" s="1289"/>
      <c r="CZ745" s="1289">
        <f t="shared" si="22"/>
        <v>0</v>
      </c>
      <c r="DA745" s="1289"/>
      <c r="DB745" s="1289"/>
      <c r="DC745" s="1289"/>
      <c r="DD745" s="1289"/>
      <c r="DE745" s="1289">
        <f t="shared" si="23"/>
        <v>0</v>
      </c>
      <c r="DF745" s="1289"/>
      <c r="DG745" s="1289"/>
      <c r="DH745" s="1289"/>
      <c r="DI745" s="1289"/>
      <c r="DJ745" s="1289">
        <f t="shared" si="24"/>
        <v>0</v>
      </c>
      <c r="DK745" s="1289"/>
      <c r="DL745" s="1289"/>
      <c r="DM745" s="1289"/>
      <c r="DN745" s="1289"/>
      <c r="DO745" s="1289">
        <f t="shared" si="25"/>
        <v>0</v>
      </c>
      <c r="DP745" s="1289"/>
      <c r="DQ745" s="1289"/>
      <c r="DR745" s="1289"/>
      <c r="DS745" s="1289"/>
      <c r="DT745" s="6"/>
      <c r="DU745" s="1293">
        <f t="shared" si="26"/>
        <v>0</v>
      </c>
      <c r="DV745" s="1293"/>
      <c r="DW745" s="1293"/>
      <c r="DX745" s="1293"/>
      <c r="DY745" s="1293"/>
      <c r="DZ745" s="1293">
        <f t="shared" si="27"/>
        <v>0</v>
      </c>
      <c r="EA745" s="1293"/>
      <c r="EB745" s="1293"/>
      <c r="EC745" s="1293"/>
      <c r="ED745" s="1293"/>
      <c r="EE745" s="1293">
        <f t="shared" si="28"/>
        <v>0</v>
      </c>
      <c r="EF745" s="1293"/>
      <c r="EG745" s="1293"/>
      <c r="EH745" s="1293"/>
      <c r="EI745" s="1293"/>
      <c r="EJ745" s="1293">
        <f t="shared" si="29"/>
        <v>0</v>
      </c>
      <c r="EK745" s="1293"/>
      <c r="EL745" s="1293"/>
      <c r="EM745" s="1293"/>
      <c r="EN745" s="1293"/>
      <c r="EO745" s="1293">
        <f t="shared" si="30"/>
        <v>0</v>
      </c>
      <c r="EP745" s="1293"/>
      <c r="EQ745" s="1293"/>
      <c r="ER745" s="1293"/>
      <c r="ES745" s="1293"/>
      <c r="ET745" s="1293">
        <f t="shared" si="31"/>
        <v>0</v>
      </c>
      <c r="EU745" s="1293"/>
      <c r="EV745" s="1293"/>
      <c r="EW745" s="1293"/>
      <c r="EX745" s="1293"/>
      <c r="EZ745" s="1275" t="str">
        <f t="shared" si="32"/>
        <v/>
      </c>
      <c r="FA745" s="1288"/>
      <c r="FB745" s="1288"/>
      <c r="FC745" s="1288"/>
      <c r="FD745" s="1276"/>
      <c r="FE745" s="1275" t="str">
        <f t="shared" si="33"/>
        <v/>
      </c>
      <c r="FF745" s="1288"/>
      <c r="FG745" s="1288"/>
      <c r="FH745" s="1288"/>
      <c r="FI745" s="1276"/>
      <c r="FJ745" s="1275" t="str">
        <f t="shared" si="34"/>
        <v/>
      </c>
      <c r="FK745" s="1288"/>
      <c r="FL745" s="1288"/>
      <c r="FM745" s="1288"/>
      <c r="FN745" s="1276"/>
      <c r="FO745" s="1275" t="str">
        <f t="shared" si="35"/>
        <v/>
      </c>
      <c r="FP745" s="1288"/>
      <c r="FQ745" s="1288"/>
      <c r="FR745" s="1288"/>
      <c r="FS745" s="1276"/>
      <c r="FT745" s="1275" t="str">
        <f t="shared" si="36"/>
        <v/>
      </c>
      <c r="FU745" s="1288"/>
      <c r="FV745" s="1288"/>
      <c r="FW745" s="1288"/>
      <c r="FX745" s="1276"/>
      <c r="FY745" s="1275" t="str">
        <f t="shared" si="37"/>
        <v/>
      </c>
      <c r="FZ745" s="1288"/>
      <c r="GA745" s="1288"/>
      <c r="GB745" s="1288"/>
      <c r="GC745" s="1276"/>
    </row>
    <row r="746" spans="1:185" ht="12.95" customHeight="1">
      <c r="B746" s="1290"/>
      <c r="C746" s="1291"/>
      <c r="D746" s="1291"/>
      <c r="E746" s="1291"/>
      <c r="F746" s="1292"/>
      <c r="G746" s="1513"/>
      <c r="H746" s="1514"/>
      <c r="I746" s="1514"/>
      <c r="J746" s="1515"/>
      <c r="K746" s="1520"/>
      <c r="L746" s="1521"/>
      <c r="M746" s="1521"/>
      <c r="N746" s="1522"/>
      <c r="O746" s="1406"/>
      <c r="P746" s="1407"/>
      <c r="Q746" s="1407"/>
      <c r="R746" s="1407"/>
      <c r="S746" s="1408"/>
      <c r="T746" s="1406"/>
      <c r="U746" s="1407"/>
      <c r="V746" s="1407"/>
      <c r="W746" s="1408"/>
      <c r="X746" s="1329">
        <f t="shared" si="10"/>
        <v>0</v>
      </c>
      <c r="Y746" s="1330"/>
      <c r="Z746" s="1330"/>
      <c r="AA746" s="1330"/>
      <c r="AB746" s="1331"/>
      <c r="AC746" s="1517"/>
      <c r="AD746" s="1518"/>
      <c r="AE746" s="1518"/>
      <c r="AF746" s="1518"/>
      <c r="AG746" s="1519"/>
      <c r="AH746" s="1311" t="str">
        <f t="shared" si="38"/>
        <v/>
      </c>
      <c r="AI746" s="1312"/>
      <c r="AJ746" s="1313"/>
      <c r="AK746" s="1290" t="s">
        <v>589</v>
      </c>
      <c r="AL746" s="1291"/>
      <c r="AM746" s="1291"/>
      <c r="AN746" s="1291"/>
      <c r="AO746" s="1292"/>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75">
        <f t="shared" si="39"/>
        <v>0</v>
      </c>
      <c r="CH746" s="1276"/>
      <c r="CI746" s="1270">
        <f t="shared" si="40"/>
        <v>0</v>
      </c>
      <c r="CJ746" s="1272"/>
      <c r="CK746" s="1275">
        <f t="shared" si="18"/>
        <v>0</v>
      </c>
      <c r="CL746" s="1276"/>
      <c r="CM746" s="1270">
        <f t="shared" si="19"/>
        <v>0</v>
      </c>
      <c r="CN746" s="1272"/>
      <c r="CO746" s="3"/>
      <c r="CP746" s="1267">
        <f t="shared" si="20"/>
        <v>0</v>
      </c>
      <c r="CQ746" s="1268"/>
      <c r="CR746" s="1268"/>
      <c r="CS746" s="1268"/>
      <c r="CT746" s="1269"/>
      <c r="CU746" s="1289">
        <f t="shared" si="21"/>
        <v>0</v>
      </c>
      <c r="CV746" s="1289"/>
      <c r="CW746" s="1289"/>
      <c r="CX746" s="1289"/>
      <c r="CY746" s="1289"/>
      <c r="CZ746" s="1289">
        <f t="shared" si="22"/>
        <v>0</v>
      </c>
      <c r="DA746" s="1289"/>
      <c r="DB746" s="1289"/>
      <c r="DC746" s="1289"/>
      <c r="DD746" s="1289"/>
      <c r="DE746" s="1289">
        <f t="shared" si="23"/>
        <v>0</v>
      </c>
      <c r="DF746" s="1289"/>
      <c r="DG746" s="1289"/>
      <c r="DH746" s="1289"/>
      <c r="DI746" s="1289"/>
      <c r="DJ746" s="1289">
        <f t="shared" si="24"/>
        <v>0</v>
      </c>
      <c r="DK746" s="1289"/>
      <c r="DL746" s="1289"/>
      <c r="DM746" s="1289"/>
      <c r="DN746" s="1289"/>
      <c r="DO746" s="1289">
        <f t="shared" si="25"/>
        <v>0</v>
      </c>
      <c r="DP746" s="1289"/>
      <c r="DQ746" s="1289"/>
      <c r="DR746" s="1289"/>
      <c r="DS746" s="1289"/>
      <c r="DT746" s="6"/>
      <c r="DU746" s="1293">
        <f t="shared" si="26"/>
        <v>0</v>
      </c>
      <c r="DV746" s="1293"/>
      <c r="DW746" s="1293"/>
      <c r="DX746" s="1293"/>
      <c r="DY746" s="1293"/>
      <c r="DZ746" s="1293">
        <f t="shared" si="27"/>
        <v>0</v>
      </c>
      <c r="EA746" s="1293"/>
      <c r="EB746" s="1293"/>
      <c r="EC746" s="1293"/>
      <c r="ED746" s="1293"/>
      <c r="EE746" s="1293">
        <f t="shared" si="28"/>
        <v>0</v>
      </c>
      <c r="EF746" s="1293"/>
      <c r="EG746" s="1293"/>
      <c r="EH746" s="1293"/>
      <c r="EI746" s="1293"/>
      <c r="EJ746" s="1293">
        <f t="shared" si="29"/>
        <v>0</v>
      </c>
      <c r="EK746" s="1293"/>
      <c r="EL746" s="1293"/>
      <c r="EM746" s="1293"/>
      <c r="EN746" s="1293"/>
      <c r="EO746" s="1293">
        <f t="shared" si="30"/>
        <v>0</v>
      </c>
      <c r="EP746" s="1293"/>
      <c r="EQ746" s="1293"/>
      <c r="ER746" s="1293"/>
      <c r="ES746" s="1293"/>
      <c r="ET746" s="1293">
        <f t="shared" si="31"/>
        <v>0</v>
      </c>
      <c r="EU746" s="1293"/>
      <c r="EV746" s="1293"/>
      <c r="EW746" s="1293"/>
      <c r="EX746" s="1293"/>
      <c r="EZ746" s="1275" t="str">
        <f t="shared" si="32"/>
        <v/>
      </c>
      <c r="FA746" s="1288"/>
      <c r="FB746" s="1288"/>
      <c r="FC746" s="1288"/>
      <c r="FD746" s="1276"/>
      <c r="FE746" s="1275" t="str">
        <f t="shared" si="33"/>
        <v/>
      </c>
      <c r="FF746" s="1288"/>
      <c r="FG746" s="1288"/>
      <c r="FH746" s="1288"/>
      <c r="FI746" s="1276"/>
      <c r="FJ746" s="1275" t="str">
        <f t="shared" si="34"/>
        <v/>
      </c>
      <c r="FK746" s="1288"/>
      <c r="FL746" s="1288"/>
      <c r="FM746" s="1288"/>
      <c r="FN746" s="1276"/>
      <c r="FO746" s="1275" t="str">
        <f t="shared" si="35"/>
        <v/>
      </c>
      <c r="FP746" s="1288"/>
      <c r="FQ746" s="1288"/>
      <c r="FR746" s="1288"/>
      <c r="FS746" s="1276"/>
      <c r="FT746" s="1275" t="str">
        <f t="shared" si="36"/>
        <v/>
      </c>
      <c r="FU746" s="1288"/>
      <c r="FV746" s="1288"/>
      <c r="FW746" s="1288"/>
      <c r="FX746" s="1276"/>
      <c r="FY746" s="1275" t="str">
        <f t="shared" si="37"/>
        <v/>
      </c>
      <c r="FZ746" s="1288"/>
      <c r="GA746" s="1288"/>
      <c r="GB746" s="1288"/>
      <c r="GC746" s="1276"/>
    </row>
    <row r="747" spans="1:185" ht="12.95" customHeight="1">
      <c r="B747" s="1290"/>
      <c r="C747" s="1291"/>
      <c r="D747" s="1291"/>
      <c r="E747" s="1291"/>
      <c r="F747" s="1292"/>
      <c r="G747" s="1513"/>
      <c r="H747" s="1514"/>
      <c r="I747" s="1514"/>
      <c r="J747" s="1515"/>
      <c r="K747" s="1520"/>
      <c r="L747" s="1521"/>
      <c r="M747" s="1521"/>
      <c r="N747" s="1522"/>
      <c r="O747" s="1406"/>
      <c r="P747" s="1407"/>
      <c r="Q747" s="1407"/>
      <c r="R747" s="1407"/>
      <c r="S747" s="1408"/>
      <c r="T747" s="1406"/>
      <c r="U747" s="1407"/>
      <c r="V747" s="1407"/>
      <c r="W747" s="1408"/>
      <c r="X747" s="1329">
        <f t="shared" si="10"/>
        <v>0</v>
      </c>
      <c r="Y747" s="1330"/>
      <c r="Z747" s="1330"/>
      <c r="AA747" s="1330"/>
      <c r="AB747" s="1331"/>
      <c r="AC747" s="1517"/>
      <c r="AD747" s="1518"/>
      <c r="AE747" s="1518"/>
      <c r="AF747" s="1518"/>
      <c r="AG747" s="1519"/>
      <c r="AH747" s="1311" t="str">
        <f t="shared" si="38"/>
        <v/>
      </c>
      <c r="AI747" s="1312"/>
      <c r="AJ747" s="1313"/>
      <c r="AK747" s="1290" t="s">
        <v>589</v>
      </c>
      <c r="AL747" s="1291"/>
      <c r="AM747" s="1291"/>
      <c r="AN747" s="1291"/>
      <c r="AO747" s="1292"/>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75">
        <f t="shared" si="39"/>
        <v>0</v>
      </c>
      <c r="CH747" s="1276"/>
      <c r="CI747" s="1270">
        <f t="shared" si="40"/>
        <v>0</v>
      </c>
      <c r="CJ747" s="1272"/>
      <c r="CK747" s="1275">
        <f t="shared" si="18"/>
        <v>0</v>
      </c>
      <c r="CL747" s="1276"/>
      <c r="CM747" s="1270">
        <f t="shared" si="19"/>
        <v>0</v>
      </c>
      <c r="CN747" s="1272"/>
      <c r="CO747" s="3"/>
      <c r="CP747" s="1267">
        <f t="shared" si="20"/>
        <v>0</v>
      </c>
      <c r="CQ747" s="1268"/>
      <c r="CR747" s="1268"/>
      <c r="CS747" s="1268"/>
      <c r="CT747" s="1269"/>
      <c r="CU747" s="1289">
        <f t="shared" si="21"/>
        <v>0</v>
      </c>
      <c r="CV747" s="1289"/>
      <c r="CW747" s="1289"/>
      <c r="CX747" s="1289"/>
      <c r="CY747" s="1289"/>
      <c r="CZ747" s="1289">
        <f t="shared" si="22"/>
        <v>0</v>
      </c>
      <c r="DA747" s="1289"/>
      <c r="DB747" s="1289"/>
      <c r="DC747" s="1289"/>
      <c r="DD747" s="1289"/>
      <c r="DE747" s="1289">
        <f t="shared" si="23"/>
        <v>0</v>
      </c>
      <c r="DF747" s="1289"/>
      <c r="DG747" s="1289"/>
      <c r="DH747" s="1289"/>
      <c r="DI747" s="1289"/>
      <c r="DJ747" s="1289">
        <f t="shared" si="24"/>
        <v>0</v>
      </c>
      <c r="DK747" s="1289"/>
      <c r="DL747" s="1289"/>
      <c r="DM747" s="1289"/>
      <c r="DN747" s="1289"/>
      <c r="DO747" s="1289">
        <f t="shared" si="25"/>
        <v>0</v>
      </c>
      <c r="DP747" s="1289"/>
      <c r="DQ747" s="1289"/>
      <c r="DR747" s="1289"/>
      <c r="DS747" s="1289"/>
      <c r="DT747" s="6"/>
      <c r="DU747" s="1293">
        <f t="shared" si="26"/>
        <v>0</v>
      </c>
      <c r="DV747" s="1293"/>
      <c r="DW747" s="1293"/>
      <c r="DX747" s="1293"/>
      <c r="DY747" s="1293"/>
      <c r="DZ747" s="1293">
        <f t="shared" si="27"/>
        <v>0</v>
      </c>
      <c r="EA747" s="1293"/>
      <c r="EB747" s="1293"/>
      <c r="EC747" s="1293"/>
      <c r="ED747" s="1293"/>
      <c r="EE747" s="1293">
        <f t="shared" si="28"/>
        <v>0</v>
      </c>
      <c r="EF747" s="1293"/>
      <c r="EG747" s="1293"/>
      <c r="EH747" s="1293"/>
      <c r="EI747" s="1293"/>
      <c r="EJ747" s="1293">
        <f t="shared" si="29"/>
        <v>0</v>
      </c>
      <c r="EK747" s="1293"/>
      <c r="EL747" s="1293"/>
      <c r="EM747" s="1293"/>
      <c r="EN747" s="1293"/>
      <c r="EO747" s="1293">
        <f t="shared" si="30"/>
        <v>0</v>
      </c>
      <c r="EP747" s="1293"/>
      <c r="EQ747" s="1293"/>
      <c r="ER747" s="1293"/>
      <c r="ES747" s="1293"/>
      <c r="ET747" s="1293">
        <f t="shared" si="31"/>
        <v>0</v>
      </c>
      <c r="EU747" s="1293"/>
      <c r="EV747" s="1293"/>
      <c r="EW747" s="1293"/>
      <c r="EX747" s="1293"/>
      <c r="EZ747" s="1275" t="str">
        <f t="shared" si="32"/>
        <v/>
      </c>
      <c r="FA747" s="1288"/>
      <c r="FB747" s="1288"/>
      <c r="FC747" s="1288"/>
      <c r="FD747" s="1276"/>
      <c r="FE747" s="1275" t="str">
        <f t="shared" si="33"/>
        <v/>
      </c>
      <c r="FF747" s="1288"/>
      <c r="FG747" s="1288"/>
      <c r="FH747" s="1288"/>
      <c r="FI747" s="1276"/>
      <c r="FJ747" s="1275" t="str">
        <f t="shared" si="34"/>
        <v/>
      </c>
      <c r="FK747" s="1288"/>
      <c r="FL747" s="1288"/>
      <c r="FM747" s="1288"/>
      <c r="FN747" s="1276"/>
      <c r="FO747" s="1275" t="str">
        <f t="shared" si="35"/>
        <v/>
      </c>
      <c r="FP747" s="1288"/>
      <c r="FQ747" s="1288"/>
      <c r="FR747" s="1288"/>
      <c r="FS747" s="1276"/>
      <c r="FT747" s="1275" t="str">
        <f t="shared" si="36"/>
        <v/>
      </c>
      <c r="FU747" s="1288"/>
      <c r="FV747" s="1288"/>
      <c r="FW747" s="1288"/>
      <c r="FX747" s="1276"/>
      <c r="FY747" s="1275" t="str">
        <f t="shared" si="37"/>
        <v/>
      </c>
      <c r="FZ747" s="1288"/>
      <c r="GA747" s="1288"/>
      <c r="GB747" s="1288"/>
      <c r="GC747" s="1276"/>
    </row>
    <row r="748" spans="1:185" ht="12.95" customHeight="1">
      <c r="B748" s="1290"/>
      <c r="C748" s="1291"/>
      <c r="D748" s="1291"/>
      <c r="E748" s="1291"/>
      <c r="F748" s="1292"/>
      <c r="G748" s="1513"/>
      <c r="H748" s="1514"/>
      <c r="I748" s="1514"/>
      <c r="J748" s="1515"/>
      <c r="K748" s="1520"/>
      <c r="L748" s="1521"/>
      <c r="M748" s="1521"/>
      <c r="N748" s="1522"/>
      <c r="O748" s="1406"/>
      <c r="P748" s="1407"/>
      <c r="Q748" s="1407"/>
      <c r="R748" s="1407"/>
      <c r="S748" s="1408"/>
      <c r="T748" s="1406"/>
      <c r="U748" s="1407"/>
      <c r="V748" s="1407"/>
      <c r="W748" s="1408"/>
      <c r="X748" s="1329">
        <f t="shared" si="10"/>
        <v>0</v>
      </c>
      <c r="Y748" s="1330"/>
      <c r="Z748" s="1330"/>
      <c r="AA748" s="1330"/>
      <c r="AB748" s="1331"/>
      <c r="AC748" s="1517"/>
      <c r="AD748" s="1518"/>
      <c r="AE748" s="1518"/>
      <c r="AF748" s="1518"/>
      <c r="AG748" s="1519"/>
      <c r="AH748" s="1311" t="str">
        <f t="shared" si="38"/>
        <v/>
      </c>
      <c r="AI748" s="1312"/>
      <c r="AJ748" s="1313"/>
      <c r="AK748" s="1290" t="s">
        <v>589</v>
      </c>
      <c r="AL748" s="1291"/>
      <c r="AM748" s="1291"/>
      <c r="AN748" s="1291"/>
      <c r="AO748" s="1292"/>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75">
        <f t="shared" si="39"/>
        <v>0</v>
      </c>
      <c r="CH748" s="1276"/>
      <c r="CI748" s="1270">
        <f t="shared" si="40"/>
        <v>0</v>
      </c>
      <c r="CJ748" s="1272"/>
      <c r="CK748" s="1275">
        <f t="shared" si="18"/>
        <v>0</v>
      </c>
      <c r="CL748" s="1276"/>
      <c r="CM748" s="1270">
        <f t="shared" si="19"/>
        <v>0</v>
      </c>
      <c r="CN748" s="1272"/>
      <c r="CO748" s="3"/>
      <c r="CP748" s="1267">
        <f t="shared" si="20"/>
        <v>0</v>
      </c>
      <c r="CQ748" s="1268"/>
      <c r="CR748" s="1268"/>
      <c r="CS748" s="1268"/>
      <c r="CT748" s="1269"/>
      <c r="CU748" s="1289">
        <f t="shared" si="21"/>
        <v>0</v>
      </c>
      <c r="CV748" s="1289"/>
      <c r="CW748" s="1289"/>
      <c r="CX748" s="1289"/>
      <c r="CY748" s="1289"/>
      <c r="CZ748" s="1289">
        <f t="shared" si="22"/>
        <v>0</v>
      </c>
      <c r="DA748" s="1289"/>
      <c r="DB748" s="1289"/>
      <c r="DC748" s="1289"/>
      <c r="DD748" s="1289"/>
      <c r="DE748" s="1289">
        <f t="shared" si="23"/>
        <v>0</v>
      </c>
      <c r="DF748" s="1289"/>
      <c r="DG748" s="1289"/>
      <c r="DH748" s="1289"/>
      <c r="DI748" s="1289"/>
      <c r="DJ748" s="1289">
        <f t="shared" si="24"/>
        <v>0</v>
      </c>
      <c r="DK748" s="1289"/>
      <c r="DL748" s="1289"/>
      <c r="DM748" s="1289"/>
      <c r="DN748" s="1289"/>
      <c r="DO748" s="1289">
        <f t="shared" si="25"/>
        <v>0</v>
      </c>
      <c r="DP748" s="1289"/>
      <c r="DQ748" s="1289"/>
      <c r="DR748" s="1289"/>
      <c r="DS748" s="1289"/>
      <c r="DT748" s="6"/>
      <c r="DU748" s="1293">
        <f t="shared" si="26"/>
        <v>0</v>
      </c>
      <c r="DV748" s="1293"/>
      <c r="DW748" s="1293"/>
      <c r="DX748" s="1293"/>
      <c r="DY748" s="1293"/>
      <c r="DZ748" s="1293">
        <f t="shared" si="27"/>
        <v>0</v>
      </c>
      <c r="EA748" s="1293"/>
      <c r="EB748" s="1293"/>
      <c r="EC748" s="1293"/>
      <c r="ED748" s="1293"/>
      <c r="EE748" s="1293">
        <f t="shared" si="28"/>
        <v>0</v>
      </c>
      <c r="EF748" s="1293"/>
      <c r="EG748" s="1293"/>
      <c r="EH748" s="1293"/>
      <c r="EI748" s="1293"/>
      <c r="EJ748" s="1293">
        <f t="shared" si="29"/>
        <v>0</v>
      </c>
      <c r="EK748" s="1293"/>
      <c r="EL748" s="1293"/>
      <c r="EM748" s="1293"/>
      <c r="EN748" s="1293"/>
      <c r="EO748" s="1293">
        <f t="shared" si="30"/>
        <v>0</v>
      </c>
      <c r="EP748" s="1293"/>
      <c r="EQ748" s="1293"/>
      <c r="ER748" s="1293"/>
      <c r="ES748" s="1293"/>
      <c r="ET748" s="1293">
        <f t="shared" si="31"/>
        <v>0</v>
      </c>
      <c r="EU748" s="1293"/>
      <c r="EV748" s="1293"/>
      <c r="EW748" s="1293"/>
      <c r="EX748" s="1293"/>
      <c r="EZ748" s="1275" t="str">
        <f t="shared" si="32"/>
        <v/>
      </c>
      <c r="FA748" s="1288"/>
      <c r="FB748" s="1288"/>
      <c r="FC748" s="1288"/>
      <c r="FD748" s="1276"/>
      <c r="FE748" s="1275" t="str">
        <f t="shared" si="33"/>
        <v/>
      </c>
      <c r="FF748" s="1288"/>
      <c r="FG748" s="1288"/>
      <c r="FH748" s="1288"/>
      <c r="FI748" s="1276"/>
      <c r="FJ748" s="1275" t="str">
        <f t="shared" si="34"/>
        <v/>
      </c>
      <c r="FK748" s="1288"/>
      <c r="FL748" s="1288"/>
      <c r="FM748" s="1288"/>
      <c r="FN748" s="1276"/>
      <c r="FO748" s="1275" t="str">
        <f t="shared" si="35"/>
        <v/>
      </c>
      <c r="FP748" s="1288"/>
      <c r="FQ748" s="1288"/>
      <c r="FR748" s="1288"/>
      <c r="FS748" s="1276"/>
      <c r="FT748" s="1275" t="str">
        <f t="shared" si="36"/>
        <v/>
      </c>
      <c r="FU748" s="1288"/>
      <c r="FV748" s="1288"/>
      <c r="FW748" s="1288"/>
      <c r="FX748" s="1276"/>
      <c r="FY748" s="1275" t="str">
        <f t="shared" si="37"/>
        <v/>
      </c>
      <c r="FZ748" s="1288"/>
      <c r="GA748" s="1288"/>
      <c r="GB748" s="1288"/>
      <c r="GC748" s="1276"/>
    </row>
    <row r="749" spans="1:185" ht="12.95" customHeight="1">
      <c r="B749" s="1290"/>
      <c r="C749" s="1291"/>
      <c r="D749" s="1291"/>
      <c r="E749" s="1291"/>
      <c r="F749" s="1292"/>
      <c r="G749" s="1513"/>
      <c r="H749" s="1514"/>
      <c r="I749" s="1514"/>
      <c r="J749" s="1515"/>
      <c r="K749" s="1520"/>
      <c r="L749" s="1521"/>
      <c r="M749" s="1521"/>
      <c r="N749" s="1522"/>
      <c r="O749" s="1406"/>
      <c r="P749" s="1407"/>
      <c r="Q749" s="1407"/>
      <c r="R749" s="1407"/>
      <c r="S749" s="1408"/>
      <c r="T749" s="1406"/>
      <c r="U749" s="1407"/>
      <c r="V749" s="1407"/>
      <c r="W749" s="1408"/>
      <c r="X749" s="1329">
        <f t="shared" si="10"/>
        <v>0</v>
      </c>
      <c r="Y749" s="1330"/>
      <c r="Z749" s="1330"/>
      <c r="AA749" s="1330"/>
      <c r="AB749" s="1331"/>
      <c r="AC749" s="1517"/>
      <c r="AD749" s="1518"/>
      <c r="AE749" s="1518"/>
      <c r="AF749" s="1518"/>
      <c r="AG749" s="1519"/>
      <c r="AH749" s="1311" t="str">
        <f t="shared" si="38"/>
        <v/>
      </c>
      <c r="AI749" s="1312"/>
      <c r="AJ749" s="1313"/>
      <c r="AK749" s="1290" t="s">
        <v>589</v>
      </c>
      <c r="AL749" s="1291"/>
      <c r="AM749" s="1291"/>
      <c r="AN749" s="1291"/>
      <c r="AO749" s="1292"/>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75">
        <f t="shared" si="39"/>
        <v>0</v>
      </c>
      <c r="CH749" s="1276"/>
      <c r="CI749" s="1270">
        <f t="shared" si="40"/>
        <v>0</v>
      </c>
      <c r="CJ749" s="1272"/>
      <c r="CK749" s="1275">
        <f t="shared" si="18"/>
        <v>0</v>
      </c>
      <c r="CL749" s="1276"/>
      <c r="CM749" s="1270">
        <f t="shared" si="19"/>
        <v>0</v>
      </c>
      <c r="CN749" s="1272"/>
      <c r="CO749" s="3"/>
      <c r="CP749" s="1267">
        <f t="shared" si="20"/>
        <v>0</v>
      </c>
      <c r="CQ749" s="1268"/>
      <c r="CR749" s="1268"/>
      <c r="CS749" s="1268"/>
      <c r="CT749" s="1269"/>
      <c r="CU749" s="1289">
        <f t="shared" si="21"/>
        <v>0</v>
      </c>
      <c r="CV749" s="1289"/>
      <c r="CW749" s="1289"/>
      <c r="CX749" s="1289"/>
      <c r="CY749" s="1289"/>
      <c r="CZ749" s="1289">
        <f t="shared" si="22"/>
        <v>0</v>
      </c>
      <c r="DA749" s="1289"/>
      <c r="DB749" s="1289"/>
      <c r="DC749" s="1289"/>
      <c r="DD749" s="1289"/>
      <c r="DE749" s="1289">
        <f t="shared" si="23"/>
        <v>0</v>
      </c>
      <c r="DF749" s="1289"/>
      <c r="DG749" s="1289"/>
      <c r="DH749" s="1289"/>
      <c r="DI749" s="1289"/>
      <c r="DJ749" s="1289">
        <f t="shared" si="24"/>
        <v>0</v>
      </c>
      <c r="DK749" s="1289"/>
      <c r="DL749" s="1289"/>
      <c r="DM749" s="1289"/>
      <c r="DN749" s="1289"/>
      <c r="DO749" s="1289">
        <f t="shared" si="25"/>
        <v>0</v>
      </c>
      <c r="DP749" s="1289"/>
      <c r="DQ749" s="1289"/>
      <c r="DR749" s="1289"/>
      <c r="DS749" s="1289"/>
      <c r="DT749" s="6"/>
      <c r="DU749" s="1293">
        <f t="shared" si="26"/>
        <v>0</v>
      </c>
      <c r="DV749" s="1293"/>
      <c r="DW749" s="1293"/>
      <c r="DX749" s="1293"/>
      <c r="DY749" s="1293"/>
      <c r="DZ749" s="1293">
        <f t="shared" si="27"/>
        <v>0</v>
      </c>
      <c r="EA749" s="1293"/>
      <c r="EB749" s="1293"/>
      <c r="EC749" s="1293"/>
      <c r="ED749" s="1293"/>
      <c r="EE749" s="1293">
        <f t="shared" si="28"/>
        <v>0</v>
      </c>
      <c r="EF749" s="1293"/>
      <c r="EG749" s="1293"/>
      <c r="EH749" s="1293"/>
      <c r="EI749" s="1293"/>
      <c r="EJ749" s="1293">
        <f t="shared" si="29"/>
        <v>0</v>
      </c>
      <c r="EK749" s="1293"/>
      <c r="EL749" s="1293"/>
      <c r="EM749" s="1293"/>
      <c r="EN749" s="1293"/>
      <c r="EO749" s="1293">
        <f t="shared" si="30"/>
        <v>0</v>
      </c>
      <c r="EP749" s="1293"/>
      <c r="EQ749" s="1293"/>
      <c r="ER749" s="1293"/>
      <c r="ES749" s="1293"/>
      <c r="ET749" s="1293">
        <f t="shared" si="31"/>
        <v>0</v>
      </c>
      <c r="EU749" s="1293"/>
      <c r="EV749" s="1293"/>
      <c r="EW749" s="1293"/>
      <c r="EX749" s="1293"/>
      <c r="EZ749" s="1275" t="str">
        <f t="shared" si="32"/>
        <v/>
      </c>
      <c r="FA749" s="1288"/>
      <c r="FB749" s="1288"/>
      <c r="FC749" s="1288"/>
      <c r="FD749" s="1276"/>
      <c r="FE749" s="1275" t="str">
        <f t="shared" si="33"/>
        <v/>
      </c>
      <c r="FF749" s="1288"/>
      <c r="FG749" s="1288"/>
      <c r="FH749" s="1288"/>
      <c r="FI749" s="1276"/>
      <c r="FJ749" s="1275" t="str">
        <f t="shared" si="34"/>
        <v/>
      </c>
      <c r="FK749" s="1288"/>
      <c r="FL749" s="1288"/>
      <c r="FM749" s="1288"/>
      <c r="FN749" s="1276"/>
      <c r="FO749" s="1275" t="str">
        <f t="shared" si="35"/>
        <v/>
      </c>
      <c r="FP749" s="1288"/>
      <c r="FQ749" s="1288"/>
      <c r="FR749" s="1288"/>
      <c r="FS749" s="1276"/>
      <c r="FT749" s="1275" t="str">
        <f t="shared" si="36"/>
        <v/>
      </c>
      <c r="FU749" s="1288"/>
      <c r="FV749" s="1288"/>
      <c r="FW749" s="1288"/>
      <c r="FX749" s="1276"/>
      <c r="FY749" s="1275" t="str">
        <f t="shared" si="37"/>
        <v/>
      </c>
      <c r="FZ749" s="1288"/>
      <c r="GA749" s="1288"/>
      <c r="GB749" s="1288"/>
      <c r="GC749" s="1276"/>
    </row>
    <row r="750" spans="1:185" ht="12.95" customHeight="1">
      <c r="B750" s="1290"/>
      <c r="C750" s="1291"/>
      <c r="D750" s="1291"/>
      <c r="E750" s="1291"/>
      <c r="F750" s="1292"/>
      <c r="G750" s="1513"/>
      <c r="H750" s="1514"/>
      <c r="I750" s="1514"/>
      <c r="J750" s="1515"/>
      <c r="K750" s="1520"/>
      <c r="L750" s="1521"/>
      <c r="M750" s="1521"/>
      <c r="N750" s="1522"/>
      <c r="O750" s="1406"/>
      <c r="P750" s="1407"/>
      <c r="Q750" s="1407"/>
      <c r="R750" s="1407"/>
      <c r="S750" s="1408"/>
      <c r="T750" s="1406"/>
      <c r="U750" s="1407"/>
      <c r="V750" s="1407"/>
      <c r="W750" s="1408"/>
      <c r="X750" s="1329">
        <f t="shared" ref="X750:X759" si="41">O750+T750</f>
        <v>0</v>
      </c>
      <c r="Y750" s="1330"/>
      <c r="Z750" s="1330"/>
      <c r="AA750" s="1330"/>
      <c r="AB750" s="1331"/>
      <c r="AC750" s="1517"/>
      <c r="AD750" s="1518"/>
      <c r="AE750" s="1518"/>
      <c r="AF750" s="1518"/>
      <c r="AG750" s="1519"/>
      <c r="AH750" s="1311" t="str">
        <f t="shared" si="38"/>
        <v/>
      </c>
      <c r="AI750" s="1312"/>
      <c r="AJ750" s="1313"/>
      <c r="AK750" s="1290" t="s">
        <v>589</v>
      </c>
      <c r="AL750" s="1291"/>
      <c r="AM750" s="1291"/>
      <c r="AN750" s="1291"/>
      <c r="AO750" s="1292"/>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75">
        <f t="shared" si="39"/>
        <v>0</v>
      </c>
      <c r="CH750" s="1276"/>
      <c r="CI750" s="1270">
        <f t="shared" si="40"/>
        <v>0</v>
      </c>
      <c r="CJ750" s="1272"/>
      <c r="CK750" s="1275">
        <f t="shared" si="18"/>
        <v>0</v>
      </c>
      <c r="CL750" s="1276"/>
      <c r="CM750" s="1270">
        <f t="shared" si="19"/>
        <v>0</v>
      </c>
      <c r="CN750" s="1272"/>
      <c r="CO750" s="3"/>
      <c r="CP750" s="1267">
        <f t="shared" si="20"/>
        <v>0</v>
      </c>
      <c r="CQ750" s="1268"/>
      <c r="CR750" s="1268"/>
      <c r="CS750" s="1268"/>
      <c r="CT750" s="1269"/>
      <c r="CU750" s="1289">
        <f t="shared" si="21"/>
        <v>0</v>
      </c>
      <c r="CV750" s="1289"/>
      <c r="CW750" s="1289"/>
      <c r="CX750" s="1289"/>
      <c r="CY750" s="1289"/>
      <c r="CZ750" s="1289">
        <f t="shared" si="22"/>
        <v>0</v>
      </c>
      <c r="DA750" s="1289"/>
      <c r="DB750" s="1289"/>
      <c r="DC750" s="1289"/>
      <c r="DD750" s="1289"/>
      <c r="DE750" s="1289">
        <f t="shared" si="23"/>
        <v>0</v>
      </c>
      <c r="DF750" s="1289"/>
      <c r="DG750" s="1289"/>
      <c r="DH750" s="1289"/>
      <c r="DI750" s="1289"/>
      <c r="DJ750" s="1289">
        <f t="shared" si="24"/>
        <v>0</v>
      </c>
      <c r="DK750" s="1289"/>
      <c r="DL750" s="1289"/>
      <c r="DM750" s="1289"/>
      <c r="DN750" s="1289"/>
      <c r="DO750" s="1289">
        <f t="shared" si="25"/>
        <v>0</v>
      </c>
      <c r="DP750" s="1289"/>
      <c r="DQ750" s="1289"/>
      <c r="DR750" s="1289"/>
      <c r="DS750" s="1289"/>
      <c r="DT750" s="6"/>
      <c r="DU750" s="1293">
        <f t="shared" si="26"/>
        <v>0</v>
      </c>
      <c r="DV750" s="1293"/>
      <c r="DW750" s="1293"/>
      <c r="DX750" s="1293"/>
      <c r="DY750" s="1293"/>
      <c r="DZ750" s="1293">
        <f t="shared" si="27"/>
        <v>0</v>
      </c>
      <c r="EA750" s="1293"/>
      <c r="EB750" s="1293"/>
      <c r="EC750" s="1293"/>
      <c r="ED750" s="1293"/>
      <c r="EE750" s="1293">
        <f t="shared" si="28"/>
        <v>0</v>
      </c>
      <c r="EF750" s="1293"/>
      <c r="EG750" s="1293"/>
      <c r="EH750" s="1293"/>
      <c r="EI750" s="1293"/>
      <c r="EJ750" s="1293">
        <f t="shared" si="29"/>
        <v>0</v>
      </c>
      <c r="EK750" s="1293"/>
      <c r="EL750" s="1293"/>
      <c r="EM750" s="1293"/>
      <c r="EN750" s="1293"/>
      <c r="EO750" s="1293">
        <f t="shared" si="30"/>
        <v>0</v>
      </c>
      <c r="EP750" s="1293"/>
      <c r="EQ750" s="1293"/>
      <c r="ER750" s="1293"/>
      <c r="ES750" s="1293"/>
      <c r="ET750" s="1293">
        <f t="shared" si="31"/>
        <v>0</v>
      </c>
      <c r="EU750" s="1293"/>
      <c r="EV750" s="1293"/>
      <c r="EW750" s="1293"/>
      <c r="EX750" s="1293"/>
      <c r="EZ750" s="1275" t="str">
        <f t="shared" si="32"/>
        <v/>
      </c>
      <c r="FA750" s="1288"/>
      <c r="FB750" s="1288"/>
      <c r="FC750" s="1288"/>
      <c r="FD750" s="1276"/>
      <c r="FE750" s="1275" t="str">
        <f t="shared" si="33"/>
        <v/>
      </c>
      <c r="FF750" s="1288"/>
      <c r="FG750" s="1288"/>
      <c r="FH750" s="1288"/>
      <c r="FI750" s="1276"/>
      <c r="FJ750" s="1275" t="str">
        <f t="shared" si="34"/>
        <v/>
      </c>
      <c r="FK750" s="1288"/>
      <c r="FL750" s="1288"/>
      <c r="FM750" s="1288"/>
      <c r="FN750" s="1276"/>
      <c r="FO750" s="1275" t="str">
        <f t="shared" si="35"/>
        <v/>
      </c>
      <c r="FP750" s="1288"/>
      <c r="FQ750" s="1288"/>
      <c r="FR750" s="1288"/>
      <c r="FS750" s="1276"/>
      <c r="FT750" s="1275" t="str">
        <f t="shared" si="36"/>
        <v/>
      </c>
      <c r="FU750" s="1288"/>
      <c r="FV750" s="1288"/>
      <c r="FW750" s="1288"/>
      <c r="FX750" s="1276"/>
      <c r="FY750" s="1275" t="str">
        <f t="shared" si="37"/>
        <v/>
      </c>
      <c r="FZ750" s="1288"/>
      <c r="GA750" s="1288"/>
      <c r="GB750" s="1288"/>
      <c r="GC750" s="1276"/>
    </row>
    <row r="751" spans="1:185" s="3" customFormat="1" ht="12.95" customHeight="1">
      <c r="A751"/>
      <c r="B751" s="1290"/>
      <c r="C751" s="1291"/>
      <c r="D751" s="1291"/>
      <c r="E751" s="1291"/>
      <c r="F751" s="1292"/>
      <c r="G751" s="1513"/>
      <c r="H751" s="1514"/>
      <c r="I751" s="1514"/>
      <c r="J751" s="1515"/>
      <c r="K751" s="1520"/>
      <c r="L751" s="1521"/>
      <c r="M751" s="1521"/>
      <c r="N751" s="1522"/>
      <c r="O751" s="1406"/>
      <c r="P751" s="1407"/>
      <c r="Q751" s="1407"/>
      <c r="R751" s="1407"/>
      <c r="S751" s="1408"/>
      <c r="T751" s="1406"/>
      <c r="U751" s="1407"/>
      <c r="V751" s="1407"/>
      <c r="W751" s="1408"/>
      <c r="X751" s="1329">
        <f t="shared" si="41"/>
        <v>0</v>
      </c>
      <c r="Y751" s="1330"/>
      <c r="Z751" s="1330"/>
      <c r="AA751" s="1330"/>
      <c r="AB751" s="1331"/>
      <c r="AC751" s="1517"/>
      <c r="AD751" s="1518"/>
      <c r="AE751" s="1518"/>
      <c r="AF751" s="1518"/>
      <c r="AG751" s="1519"/>
      <c r="AH751" s="1311" t="str">
        <f t="shared" si="38"/>
        <v/>
      </c>
      <c r="AI751" s="1312"/>
      <c r="AJ751" s="1313"/>
      <c r="AK751" s="1290" t="s">
        <v>589</v>
      </c>
      <c r="AL751" s="1291"/>
      <c r="AM751" s="1291"/>
      <c r="AN751" s="1291"/>
      <c r="AO751" s="1292"/>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75">
        <f t="shared" si="39"/>
        <v>0</v>
      </c>
      <c r="CH751" s="1276"/>
      <c r="CI751" s="1270">
        <f t="shared" si="40"/>
        <v>0</v>
      </c>
      <c r="CJ751" s="1272"/>
      <c r="CK751" s="1275">
        <f t="shared" si="18"/>
        <v>0</v>
      </c>
      <c r="CL751" s="1276"/>
      <c r="CM751" s="1270">
        <f t="shared" si="19"/>
        <v>0</v>
      </c>
      <c r="CN751" s="1272"/>
      <c r="CP751" s="1267">
        <f t="shared" si="20"/>
        <v>0</v>
      </c>
      <c r="CQ751" s="1268"/>
      <c r="CR751" s="1268"/>
      <c r="CS751" s="1268"/>
      <c r="CT751" s="1269"/>
      <c r="CU751" s="1289">
        <f t="shared" si="21"/>
        <v>0</v>
      </c>
      <c r="CV751" s="1289"/>
      <c r="CW751" s="1289"/>
      <c r="CX751" s="1289"/>
      <c r="CY751" s="1289"/>
      <c r="CZ751" s="1289">
        <f t="shared" si="22"/>
        <v>0</v>
      </c>
      <c r="DA751" s="1289"/>
      <c r="DB751" s="1289"/>
      <c r="DC751" s="1289"/>
      <c r="DD751" s="1289"/>
      <c r="DE751" s="1289">
        <f t="shared" si="23"/>
        <v>0</v>
      </c>
      <c r="DF751" s="1289"/>
      <c r="DG751" s="1289"/>
      <c r="DH751" s="1289"/>
      <c r="DI751" s="1289"/>
      <c r="DJ751" s="1289">
        <f t="shared" si="24"/>
        <v>0</v>
      </c>
      <c r="DK751" s="1289"/>
      <c r="DL751" s="1289"/>
      <c r="DM751" s="1289"/>
      <c r="DN751" s="1289"/>
      <c r="DO751" s="1289">
        <f t="shared" si="25"/>
        <v>0</v>
      </c>
      <c r="DP751" s="1289"/>
      <c r="DQ751" s="1289"/>
      <c r="DR751" s="1289"/>
      <c r="DS751" s="1289"/>
      <c r="DT751" s="6"/>
      <c r="DU751" s="1293">
        <f t="shared" si="26"/>
        <v>0</v>
      </c>
      <c r="DV751" s="1293"/>
      <c r="DW751" s="1293"/>
      <c r="DX751" s="1293"/>
      <c r="DY751" s="1293"/>
      <c r="DZ751" s="1293">
        <f t="shared" si="27"/>
        <v>0</v>
      </c>
      <c r="EA751" s="1293"/>
      <c r="EB751" s="1293"/>
      <c r="EC751" s="1293"/>
      <c r="ED751" s="1293"/>
      <c r="EE751" s="1293">
        <f t="shared" si="28"/>
        <v>0</v>
      </c>
      <c r="EF751" s="1293"/>
      <c r="EG751" s="1293"/>
      <c r="EH751" s="1293"/>
      <c r="EI751" s="1293"/>
      <c r="EJ751" s="1293">
        <f t="shared" si="29"/>
        <v>0</v>
      </c>
      <c r="EK751" s="1293"/>
      <c r="EL751" s="1293"/>
      <c r="EM751" s="1293"/>
      <c r="EN751" s="1293"/>
      <c r="EO751" s="1293">
        <f t="shared" si="30"/>
        <v>0</v>
      </c>
      <c r="EP751" s="1293"/>
      <c r="EQ751" s="1293"/>
      <c r="ER751" s="1293"/>
      <c r="ES751" s="1293"/>
      <c r="ET751" s="1293">
        <f t="shared" si="31"/>
        <v>0</v>
      </c>
      <c r="EU751" s="1293"/>
      <c r="EV751" s="1293"/>
      <c r="EW751" s="1293"/>
      <c r="EX751" s="1293"/>
      <c r="EY751"/>
      <c r="EZ751" s="1275" t="str">
        <f t="shared" si="32"/>
        <v/>
      </c>
      <c r="FA751" s="1288"/>
      <c r="FB751" s="1288"/>
      <c r="FC751" s="1288"/>
      <c r="FD751" s="1276"/>
      <c r="FE751" s="1275" t="str">
        <f t="shared" si="33"/>
        <v/>
      </c>
      <c r="FF751" s="1288"/>
      <c r="FG751" s="1288"/>
      <c r="FH751" s="1288"/>
      <c r="FI751" s="1276"/>
      <c r="FJ751" s="1275" t="str">
        <f t="shared" si="34"/>
        <v/>
      </c>
      <c r="FK751" s="1288"/>
      <c r="FL751" s="1288"/>
      <c r="FM751" s="1288"/>
      <c r="FN751" s="1276"/>
      <c r="FO751" s="1275" t="str">
        <f t="shared" si="35"/>
        <v/>
      </c>
      <c r="FP751" s="1288"/>
      <c r="FQ751" s="1288"/>
      <c r="FR751" s="1288"/>
      <c r="FS751" s="1276"/>
      <c r="FT751" s="1275" t="str">
        <f t="shared" si="36"/>
        <v/>
      </c>
      <c r="FU751" s="1288"/>
      <c r="FV751" s="1288"/>
      <c r="FW751" s="1288"/>
      <c r="FX751" s="1276"/>
      <c r="FY751" s="1275" t="str">
        <f t="shared" si="37"/>
        <v/>
      </c>
      <c r="FZ751" s="1288"/>
      <c r="GA751" s="1288"/>
      <c r="GB751" s="1288"/>
      <c r="GC751" s="1276"/>
    </row>
    <row r="752" spans="1:185" ht="12.95" customHeight="1">
      <c r="B752" s="1290"/>
      <c r="C752" s="1291"/>
      <c r="D752" s="1291"/>
      <c r="E752" s="1291"/>
      <c r="F752" s="1292"/>
      <c r="G752" s="1513"/>
      <c r="H752" s="1514"/>
      <c r="I752" s="1514"/>
      <c r="J752" s="1515"/>
      <c r="K752" s="1520"/>
      <c r="L752" s="1521"/>
      <c r="M752" s="1521"/>
      <c r="N752" s="1522"/>
      <c r="O752" s="1406"/>
      <c r="P752" s="1407"/>
      <c r="Q752" s="1407"/>
      <c r="R752" s="1407"/>
      <c r="S752" s="1408"/>
      <c r="T752" s="1406"/>
      <c r="U752" s="1407"/>
      <c r="V752" s="1407"/>
      <c r="W752" s="1408"/>
      <c r="X752" s="1329">
        <f t="shared" si="41"/>
        <v>0</v>
      </c>
      <c r="Y752" s="1330"/>
      <c r="Z752" s="1330"/>
      <c r="AA752" s="1330"/>
      <c r="AB752" s="1331"/>
      <c r="AC752" s="1517"/>
      <c r="AD752" s="1518"/>
      <c r="AE752" s="1518"/>
      <c r="AF752" s="1518"/>
      <c r="AG752" s="1519"/>
      <c r="AH752" s="1311" t="str">
        <f t="shared" si="38"/>
        <v/>
      </c>
      <c r="AI752" s="1312"/>
      <c r="AJ752" s="1313"/>
      <c r="AK752" s="1290" t="s">
        <v>589</v>
      </c>
      <c r="AL752" s="1291"/>
      <c r="AM752" s="1291"/>
      <c r="AN752" s="1291"/>
      <c r="AO752" s="1292"/>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75">
        <f t="shared" si="39"/>
        <v>0</v>
      </c>
      <c r="CH752" s="1276"/>
      <c r="CI752" s="1270">
        <f t="shared" si="40"/>
        <v>0</v>
      </c>
      <c r="CJ752" s="1272"/>
      <c r="CK752" s="1275">
        <f t="shared" si="18"/>
        <v>0</v>
      </c>
      <c r="CL752" s="1276"/>
      <c r="CM752" s="1270">
        <f t="shared" si="19"/>
        <v>0</v>
      </c>
      <c r="CN752" s="1272"/>
      <c r="CO752" s="3"/>
      <c r="CP752" s="1267">
        <f t="shared" si="20"/>
        <v>0</v>
      </c>
      <c r="CQ752" s="1268"/>
      <c r="CR752" s="1268"/>
      <c r="CS752" s="1268"/>
      <c r="CT752" s="1269"/>
      <c r="CU752" s="1289">
        <f t="shared" si="21"/>
        <v>0</v>
      </c>
      <c r="CV752" s="1289"/>
      <c r="CW752" s="1289"/>
      <c r="CX752" s="1289"/>
      <c r="CY752" s="1289"/>
      <c r="CZ752" s="1289">
        <f t="shared" si="22"/>
        <v>0</v>
      </c>
      <c r="DA752" s="1289"/>
      <c r="DB752" s="1289"/>
      <c r="DC752" s="1289"/>
      <c r="DD752" s="1289"/>
      <c r="DE752" s="1289">
        <f t="shared" si="23"/>
        <v>0</v>
      </c>
      <c r="DF752" s="1289"/>
      <c r="DG752" s="1289"/>
      <c r="DH752" s="1289"/>
      <c r="DI752" s="1289"/>
      <c r="DJ752" s="1289">
        <f t="shared" si="24"/>
        <v>0</v>
      </c>
      <c r="DK752" s="1289"/>
      <c r="DL752" s="1289"/>
      <c r="DM752" s="1289"/>
      <c r="DN752" s="1289"/>
      <c r="DO752" s="1289">
        <f t="shared" si="25"/>
        <v>0</v>
      </c>
      <c r="DP752" s="1289"/>
      <c r="DQ752" s="1289"/>
      <c r="DR752" s="1289"/>
      <c r="DS752" s="1289"/>
      <c r="DT752" s="6"/>
      <c r="DU752" s="1293">
        <f t="shared" si="26"/>
        <v>0</v>
      </c>
      <c r="DV752" s="1293"/>
      <c r="DW752" s="1293"/>
      <c r="DX752" s="1293"/>
      <c r="DY752" s="1293"/>
      <c r="DZ752" s="1293">
        <f t="shared" si="27"/>
        <v>0</v>
      </c>
      <c r="EA752" s="1293"/>
      <c r="EB752" s="1293"/>
      <c r="EC752" s="1293"/>
      <c r="ED752" s="1293"/>
      <c r="EE752" s="1293">
        <f t="shared" si="28"/>
        <v>0</v>
      </c>
      <c r="EF752" s="1293"/>
      <c r="EG752" s="1293"/>
      <c r="EH752" s="1293"/>
      <c r="EI752" s="1293"/>
      <c r="EJ752" s="1293">
        <f t="shared" si="29"/>
        <v>0</v>
      </c>
      <c r="EK752" s="1293"/>
      <c r="EL752" s="1293"/>
      <c r="EM752" s="1293"/>
      <c r="EN752" s="1293"/>
      <c r="EO752" s="1293">
        <f t="shared" si="30"/>
        <v>0</v>
      </c>
      <c r="EP752" s="1293"/>
      <c r="EQ752" s="1293"/>
      <c r="ER752" s="1293"/>
      <c r="ES752" s="1293"/>
      <c r="ET752" s="1293">
        <f t="shared" si="31"/>
        <v>0</v>
      </c>
      <c r="EU752" s="1293"/>
      <c r="EV752" s="1293"/>
      <c r="EW752" s="1293"/>
      <c r="EX752" s="1293"/>
      <c r="EZ752" s="1275" t="str">
        <f t="shared" si="32"/>
        <v/>
      </c>
      <c r="FA752" s="1288"/>
      <c r="FB752" s="1288"/>
      <c r="FC752" s="1288"/>
      <c r="FD752" s="1276"/>
      <c r="FE752" s="1275" t="str">
        <f t="shared" si="33"/>
        <v/>
      </c>
      <c r="FF752" s="1288"/>
      <c r="FG752" s="1288"/>
      <c r="FH752" s="1288"/>
      <c r="FI752" s="1276"/>
      <c r="FJ752" s="1275" t="str">
        <f t="shared" si="34"/>
        <v/>
      </c>
      <c r="FK752" s="1288"/>
      <c r="FL752" s="1288"/>
      <c r="FM752" s="1288"/>
      <c r="FN752" s="1276"/>
      <c r="FO752" s="1275" t="str">
        <f t="shared" si="35"/>
        <v/>
      </c>
      <c r="FP752" s="1288"/>
      <c r="FQ752" s="1288"/>
      <c r="FR752" s="1288"/>
      <c r="FS752" s="1276"/>
      <c r="FT752" s="1275" t="str">
        <f t="shared" si="36"/>
        <v/>
      </c>
      <c r="FU752" s="1288"/>
      <c r="FV752" s="1288"/>
      <c r="FW752" s="1288"/>
      <c r="FX752" s="1276"/>
      <c r="FY752" s="1275" t="str">
        <f t="shared" si="37"/>
        <v/>
      </c>
      <c r="FZ752" s="1288"/>
      <c r="GA752" s="1288"/>
      <c r="GB752" s="1288"/>
      <c r="GC752" s="1276"/>
    </row>
    <row r="753" spans="1:185" ht="12.95" customHeight="1">
      <c r="B753" s="1290"/>
      <c r="C753" s="1291"/>
      <c r="D753" s="1291"/>
      <c r="E753" s="1291"/>
      <c r="F753" s="1292"/>
      <c r="G753" s="1513"/>
      <c r="H753" s="1514"/>
      <c r="I753" s="1514"/>
      <c r="J753" s="1515"/>
      <c r="K753" s="1520"/>
      <c r="L753" s="1521"/>
      <c r="M753" s="1521"/>
      <c r="N753" s="1522"/>
      <c r="O753" s="1406"/>
      <c r="P753" s="1407"/>
      <c r="Q753" s="1407"/>
      <c r="R753" s="1407"/>
      <c r="S753" s="1408"/>
      <c r="T753" s="1406"/>
      <c r="U753" s="1407"/>
      <c r="V753" s="1407"/>
      <c r="W753" s="1408"/>
      <c r="X753" s="1329">
        <f t="shared" si="41"/>
        <v>0</v>
      </c>
      <c r="Y753" s="1330"/>
      <c r="Z753" s="1330"/>
      <c r="AA753" s="1330"/>
      <c r="AB753" s="1331"/>
      <c r="AC753" s="1517"/>
      <c r="AD753" s="1518"/>
      <c r="AE753" s="1518"/>
      <c r="AF753" s="1518"/>
      <c r="AG753" s="1519"/>
      <c r="AH753" s="1311" t="str">
        <f t="shared" si="38"/>
        <v/>
      </c>
      <c r="AI753" s="1312"/>
      <c r="AJ753" s="1313"/>
      <c r="AK753" s="1290" t="s">
        <v>589</v>
      </c>
      <c r="AL753" s="1291"/>
      <c r="AM753" s="1291"/>
      <c r="AN753" s="1291"/>
      <c r="AO753" s="1292"/>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75">
        <f t="shared" si="39"/>
        <v>0</v>
      </c>
      <c r="CH753" s="1276"/>
      <c r="CI753" s="1270">
        <f t="shared" si="40"/>
        <v>0</v>
      </c>
      <c r="CJ753" s="1272"/>
      <c r="CK753" s="1275">
        <f t="shared" si="18"/>
        <v>0</v>
      </c>
      <c r="CL753" s="1276"/>
      <c r="CM753" s="1270">
        <f t="shared" si="19"/>
        <v>0</v>
      </c>
      <c r="CN753" s="1272"/>
      <c r="CO753" s="3"/>
      <c r="CP753" s="1267">
        <f t="shared" si="20"/>
        <v>0</v>
      </c>
      <c r="CQ753" s="1268"/>
      <c r="CR753" s="1268"/>
      <c r="CS753" s="1268"/>
      <c r="CT753" s="1269"/>
      <c r="CU753" s="1289">
        <f t="shared" si="21"/>
        <v>0</v>
      </c>
      <c r="CV753" s="1289"/>
      <c r="CW753" s="1289"/>
      <c r="CX753" s="1289"/>
      <c r="CY753" s="1289"/>
      <c r="CZ753" s="1289">
        <f t="shared" si="22"/>
        <v>0</v>
      </c>
      <c r="DA753" s="1289"/>
      <c r="DB753" s="1289"/>
      <c r="DC753" s="1289"/>
      <c r="DD753" s="1289"/>
      <c r="DE753" s="1289">
        <f t="shared" si="23"/>
        <v>0</v>
      </c>
      <c r="DF753" s="1289"/>
      <c r="DG753" s="1289"/>
      <c r="DH753" s="1289"/>
      <c r="DI753" s="1289"/>
      <c r="DJ753" s="1289">
        <f t="shared" si="24"/>
        <v>0</v>
      </c>
      <c r="DK753" s="1289"/>
      <c r="DL753" s="1289"/>
      <c r="DM753" s="1289"/>
      <c r="DN753" s="1289"/>
      <c r="DO753" s="1289">
        <f t="shared" si="25"/>
        <v>0</v>
      </c>
      <c r="DP753" s="1289"/>
      <c r="DQ753" s="1289"/>
      <c r="DR753" s="1289"/>
      <c r="DS753" s="1289"/>
      <c r="DT753" s="6"/>
      <c r="DU753" s="1293">
        <f t="shared" si="26"/>
        <v>0</v>
      </c>
      <c r="DV753" s="1293"/>
      <c r="DW753" s="1293"/>
      <c r="DX753" s="1293"/>
      <c r="DY753" s="1293"/>
      <c r="DZ753" s="1293">
        <f t="shared" si="27"/>
        <v>0</v>
      </c>
      <c r="EA753" s="1293"/>
      <c r="EB753" s="1293"/>
      <c r="EC753" s="1293"/>
      <c r="ED753" s="1293"/>
      <c r="EE753" s="1293">
        <f t="shared" si="28"/>
        <v>0</v>
      </c>
      <c r="EF753" s="1293"/>
      <c r="EG753" s="1293"/>
      <c r="EH753" s="1293"/>
      <c r="EI753" s="1293"/>
      <c r="EJ753" s="1293">
        <f t="shared" si="29"/>
        <v>0</v>
      </c>
      <c r="EK753" s="1293"/>
      <c r="EL753" s="1293"/>
      <c r="EM753" s="1293"/>
      <c r="EN753" s="1293"/>
      <c r="EO753" s="1293">
        <f t="shared" si="30"/>
        <v>0</v>
      </c>
      <c r="EP753" s="1293"/>
      <c r="EQ753" s="1293"/>
      <c r="ER753" s="1293"/>
      <c r="ES753" s="1293"/>
      <c r="ET753" s="1293">
        <f t="shared" si="31"/>
        <v>0</v>
      </c>
      <c r="EU753" s="1293"/>
      <c r="EV753" s="1293"/>
      <c r="EW753" s="1293"/>
      <c r="EX753" s="1293"/>
      <c r="EZ753" s="1275" t="str">
        <f t="shared" si="32"/>
        <v/>
      </c>
      <c r="FA753" s="1288"/>
      <c r="FB753" s="1288"/>
      <c r="FC753" s="1288"/>
      <c r="FD753" s="1276"/>
      <c r="FE753" s="1275" t="str">
        <f t="shared" si="33"/>
        <v/>
      </c>
      <c r="FF753" s="1288"/>
      <c r="FG753" s="1288"/>
      <c r="FH753" s="1288"/>
      <c r="FI753" s="1276"/>
      <c r="FJ753" s="1275" t="str">
        <f t="shared" si="34"/>
        <v/>
      </c>
      <c r="FK753" s="1288"/>
      <c r="FL753" s="1288"/>
      <c r="FM753" s="1288"/>
      <c r="FN753" s="1276"/>
      <c r="FO753" s="1275" t="str">
        <f t="shared" si="35"/>
        <v/>
      </c>
      <c r="FP753" s="1288"/>
      <c r="FQ753" s="1288"/>
      <c r="FR753" s="1288"/>
      <c r="FS753" s="1276"/>
      <c r="FT753" s="1275" t="str">
        <f t="shared" si="36"/>
        <v/>
      </c>
      <c r="FU753" s="1288"/>
      <c r="FV753" s="1288"/>
      <c r="FW753" s="1288"/>
      <c r="FX753" s="1276"/>
      <c r="FY753" s="1275" t="str">
        <f t="shared" si="37"/>
        <v/>
      </c>
      <c r="FZ753" s="1288"/>
      <c r="GA753" s="1288"/>
      <c r="GB753" s="1288"/>
      <c r="GC753" s="1276"/>
    </row>
    <row r="754" spans="1:185" ht="12.95" customHeight="1">
      <c r="B754" s="1290"/>
      <c r="C754" s="1291"/>
      <c r="D754" s="1291"/>
      <c r="E754" s="1291"/>
      <c r="F754" s="1292"/>
      <c r="G754" s="1513"/>
      <c r="H754" s="1514"/>
      <c r="I754" s="1514"/>
      <c r="J754" s="1515"/>
      <c r="K754" s="1520"/>
      <c r="L754" s="1521"/>
      <c r="M754" s="1521"/>
      <c r="N754" s="1522"/>
      <c r="O754" s="1406"/>
      <c r="P754" s="1407"/>
      <c r="Q754" s="1407"/>
      <c r="R754" s="1407"/>
      <c r="S754" s="1408"/>
      <c r="T754" s="1406"/>
      <c r="U754" s="1407"/>
      <c r="V754" s="1407"/>
      <c r="W754" s="1408"/>
      <c r="X754" s="1329">
        <f t="shared" si="41"/>
        <v>0</v>
      </c>
      <c r="Y754" s="1330"/>
      <c r="Z754" s="1330"/>
      <c r="AA754" s="1330"/>
      <c r="AB754" s="1331"/>
      <c r="AC754" s="1517"/>
      <c r="AD754" s="1518"/>
      <c r="AE754" s="1518"/>
      <c r="AF754" s="1518"/>
      <c r="AG754" s="1519"/>
      <c r="AH754" s="1311" t="str">
        <f t="shared" si="38"/>
        <v/>
      </c>
      <c r="AI754" s="1312"/>
      <c r="AJ754" s="1313"/>
      <c r="AK754" s="1290" t="s">
        <v>589</v>
      </c>
      <c r="AL754" s="1291"/>
      <c r="AM754" s="1291"/>
      <c r="AN754" s="1291"/>
      <c r="AO754" s="1292"/>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75">
        <f t="shared" si="39"/>
        <v>0</v>
      </c>
      <c r="CH754" s="1276"/>
      <c r="CI754" s="1270">
        <f t="shared" si="40"/>
        <v>0</v>
      </c>
      <c r="CJ754" s="1272"/>
      <c r="CK754" s="1275">
        <f t="shared" si="18"/>
        <v>0</v>
      </c>
      <c r="CL754" s="1276"/>
      <c r="CM754" s="1270">
        <f t="shared" si="19"/>
        <v>0</v>
      </c>
      <c r="CN754" s="1272"/>
      <c r="CO754" s="3"/>
      <c r="CP754" s="1267">
        <f t="shared" si="20"/>
        <v>0</v>
      </c>
      <c r="CQ754" s="1268"/>
      <c r="CR754" s="1268"/>
      <c r="CS754" s="1268"/>
      <c r="CT754" s="1269"/>
      <c r="CU754" s="1289">
        <f t="shared" si="21"/>
        <v>0</v>
      </c>
      <c r="CV754" s="1289"/>
      <c r="CW754" s="1289"/>
      <c r="CX754" s="1289"/>
      <c r="CY754" s="1289"/>
      <c r="CZ754" s="1289">
        <f t="shared" si="22"/>
        <v>0</v>
      </c>
      <c r="DA754" s="1289"/>
      <c r="DB754" s="1289"/>
      <c r="DC754" s="1289"/>
      <c r="DD754" s="1289"/>
      <c r="DE754" s="1289">
        <f t="shared" si="23"/>
        <v>0</v>
      </c>
      <c r="DF754" s="1289"/>
      <c r="DG754" s="1289"/>
      <c r="DH754" s="1289"/>
      <c r="DI754" s="1289"/>
      <c r="DJ754" s="1289">
        <f t="shared" si="24"/>
        <v>0</v>
      </c>
      <c r="DK754" s="1289"/>
      <c r="DL754" s="1289"/>
      <c r="DM754" s="1289"/>
      <c r="DN754" s="1289"/>
      <c r="DO754" s="1289">
        <f t="shared" si="25"/>
        <v>0</v>
      </c>
      <c r="DP754" s="1289"/>
      <c r="DQ754" s="1289"/>
      <c r="DR754" s="1289"/>
      <c r="DS754" s="1289"/>
      <c r="DT754" s="6"/>
      <c r="DU754" s="1293">
        <f t="shared" si="26"/>
        <v>0</v>
      </c>
      <c r="DV754" s="1293"/>
      <c r="DW754" s="1293"/>
      <c r="DX754" s="1293"/>
      <c r="DY754" s="1293"/>
      <c r="DZ754" s="1293">
        <f t="shared" si="27"/>
        <v>0</v>
      </c>
      <c r="EA754" s="1293"/>
      <c r="EB754" s="1293"/>
      <c r="EC754" s="1293"/>
      <c r="ED754" s="1293"/>
      <c r="EE754" s="1293">
        <f t="shared" si="28"/>
        <v>0</v>
      </c>
      <c r="EF754" s="1293"/>
      <c r="EG754" s="1293"/>
      <c r="EH754" s="1293"/>
      <c r="EI754" s="1293"/>
      <c r="EJ754" s="1293">
        <f t="shared" si="29"/>
        <v>0</v>
      </c>
      <c r="EK754" s="1293"/>
      <c r="EL754" s="1293"/>
      <c r="EM754" s="1293"/>
      <c r="EN754" s="1293"/>
      <c r="EO754" s="1293">
        <f t="shared" si="30"/>
        <v>0</v>
      </c>
      <c r="EP754" s="1293"/>
      <c r="EQ754" s="1293"/>
      <c r="ER754" s="1293"/>
      <c r="ES754" s="1293"/>
      <c r="ET754" s="1293">
        <f t="shared" si="31"/>
        <v>0</v>
      </c>
      <c r="EU754" s="1293"/>
      <c r="EV754" s="1293"/>
      <c r="EW754" s="1293"/>
      <c r="EX754" s="1293"/>
      <c r="EZ754" s="1275" t="str">
        <f t="shared" si="32"/>
        <v/>
      </c>
      <c r="FA754" s="1288"/>
      <c r="FB754" s="1288"/>
      <c r="FC754" s="1288"/>
      <c r="FD754" s="1276"/>
      <c r="FE754" s="1275" t="str">
        <f t="shared" si="33"/>
        <v/>
      </c>
      <c r="FF754" s="1288"/>
      <c r="FG754" s="1288"/>
      <c r="FH754" s="1288"/>
      <c r="FI754" s="1276"/>
      <c r="FJ754" s="1275" t="str">
        <f t="shared" si="34"/>
        <v/>
      </c>
      <c r="FK754" s="1288"/>
      <c r="FL754" s="1288"/>
      <c r="FM754" s="1288"/>
      <c r="FN754" s="1276"/>
      <c r="FO754" s="1275" t="str">
        <f t="shared" si="35"/>
        <v/>
      </c>
      <c r="FP754" s="1288"/>
      <c r="FQ754" s="1288"/>
      <c r="FR754" s="1288"/>
      <c r="FS754" s="1276"/>
      <c r="FT754" s="1275" t="str">
        <f t="shared" si="36"/>
        <v/>
      </c>
      <c r="FU754" s="1288"/>
      <c r="FV754" s="1288"/>
      <c r="FW754" s="1288"/>
      <c r="FX754" s="1276"/>
      <c r="FY754" s="1275" t="str">
        <f t="shared" si="37"/>
        <v/>
      </c>
      <c r="FZ754" s="1288"/>
      <c r="GA754" s="1288"/>
      <c r="GB754" s="1288"/>
      <c r="GC754" s="1276"/>
    </row>
    <row r="755" spans="1:185" ht="12.95" customHeight="1">
      <c r="B755" s="1290"/>
      <c r="C755" s="1291"/>
      <c r="D755" s="1291"/>
      <c r="E755" s="1291"/>
      <c r="F755" s="1292"/>
      <c r="G755" s="1513"/>
      <c r="H755" s="1514"/>
      <c r="I755" s="1514"/>
      <c r="J755" s="1515"/>
      <c r="K755" s="1520"/>
      <c r="L755" s="1521"/>
      <c r="M755" s="1521"/>
      <c r="N755" s="1522"/>
      <c r="O755" s="1406"/>
      <c r="P755" s="1407"/>
      <c r="Q755" s="1407"/>
      <c r="R755" s="1407"/>
      <c r="S755" s="1408"/>
      <c r="T755" s="1406"/>
      <c r="U755" s="1407"/>
      <c r="V755" s="1407"/>
      <c r="W755" s="1408"/>
      <c r="X755" s="1329">
        <f t="shared" si="41"/>
        <v>0</v>
      </c>
      <c r="Y755" s="1330"/>
      <c r="Z755" s="1330"/>
      <c r="AA755" s="1330"/>
      <c r="AB755" s="1331"/>
      <c r="AC755" s="1517"/>
      <c r="AD755" s="1518"/>
      <c r="AE755" s="1518"/>
      <c r="AF755" s="1518"/>
      <c r="AG755" s="1519"/>
      <c r="AH755" s="1311" t="str">
        <f t="shared" si="38"/>
        <v/>
      </c>
      <c r="AI755" s="1312"/>
      <c r="AJ755" s="1313"/>
      <c r="AK755" s="1290" t="s">
        <v>589</v>
      </c>
      <c r="AL755" s="1291"/>
      <c r="AM755" s="1291"/>
      <c r="AN755" s="1291"/>
      <c r="AO755" s="1292"/>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75">
        <f t="shared" si="39"/>
        <v>0</v>
      </c>
      <c r="CH755" s="1276"/>
      <c r="CI755" s="1270">
        <f t="shared" si="40"/>
        <v>0</v>
      </c>
      <c r="CJ755" s="1272"/>
      <c r="CK755" s="1275">
        <f t="shared" si="18"/>
        <v>0</v>
      </c>
      <c r="CL755" s="1276"/>
      <c r="CM755" s="1270">
        <f t="shared" si="19"/>
        <v>0</v>
      </c>
      <c r="CN755" s="1272"/>
      <c r="CO755" s="3"/>
      <c r="CP755" s="1267">
        <f t="shared" si="20"/>
        <v>0</v>
      </c>
      <c r="CQ755" s="1268"/>
      <c r="CR755" s="1268"/>
      <c r="CS755" s="1268"/>
      <c r="CT755" s="1269"/>
      <c r="CU755" s="1289">
        <f t="shared" si="21"/>
        <v>0</v>
      </c>
      <c r="CV755" s="1289"/>
      <c r="CW755" s="1289"/>
      <c r="CX755" s="1289"/>
      <c r="CY755" s="1289"/>
      <c r="CZ755" s="1289">
        <f t="shared" si="22"/>
        <v>0</v>
      </c>
      <c r="DA755" s="1289"/>
      <c r="DB755" s="1289"/>
      <c r="DC755" s="1289"/>
      <c r="DD755" s="1289"/>
      <c r="DE755" s="1289">
        <f t="shared" si="23"/>
        <v>0</v>
      </c>
      <c r="DF755" s="1289"/>
      <c r="DG755" s="1289"/>
      <c r="DH755" s="1289"/>
      <c r="DI755" s="1289"/>
      <c r="DJ755" s="1289">
        <f t="shared" si="24"/>
        <v>0</v>
      </c>
      <c r="DK755" s="1289"/>
      <c r="DL755" s="1289"/>
      <c r="DM755" s="1289"/>
      <c r="DN755" s="1289"/>
      <c r="DO755" s="1289">
        <f t="shared" si="25"/>
        <v>0</v>
      </c>
      <c r="DP755" s="1289"/>
      <c r="DQ755" s="1289"/>
      <c r="DR755" s="1289"/>
      <c r="DS755" s="1289"/>
      <c r="DT755" s="6"/>
      <c r="DU755" s="1293">
        <f t="shared" si="26"/>
        <v>0</v>
      </c>
      <c r="DV755" s="1293"/>
      <c r="DW755" s="1293"/>
      <c r="DX755" s="1293"/>
      <c r="DY755" s="1293"/>
      <c r="DZ755" s="1293">
        <f t="shared" si="27"/>
        <v>0</v>
      </c>
      <c r="EA755" s="1293"/>
      <c r="EB755" s="1293"/>
      <c r="EC755" s="1293"/>
      <c r="ED755" s="1293"/>
      <c r="EE755" s="1293">
        <f t="shared" si="28"/>
        <v>0</v>
      </c>
      <c r="EF755" s="1293"/>
      <c r="EG755" s="1293"/>
      <c r="EH755" s="1293"/>
      <c r="EI755" s="1293"/>
      <c r="EJ755" s="1293">
        <f t="shared" si="29"/>
        <v>0</v>
      </c>
      <c r="EK755" s="1293"/>
      <c r="EL755" s="1293"/>
      <c r="EM755" s="1293"/>
      <c r="EN755" s="1293"/>
      <c r="EO755" s="1293">
        <f t="shared" si="30"/>
        <v>0</v>
      </c>
      <c r="EP755" s="1293"/>
      <c r="EQ755" s="1293"/>
      <c r="ER755" s="1293"/>
      <c r="ES755" s="1293"/>
      <c r="ET755" s="1293">
        <f t="shared" si="31"/>
        <v>0</v>
      </c>
      <c r="EU755" s="1293"/>
      <c r="EV755" s="1293"/>
      <c r="EW755" s="1293"/>
      <c r="EX755" s="1293"/>
      <c r="EZ755" s="1275" t="str">
        <f t="shared" si="32"/>
        <v/>
      </c>
      <c r="FA755" s="1288"/>
      <c r="FB755" s="1288"/>
      <c r="FC755" s="1288"/>
      <c r="FD755" s="1276"/>
      <c r="FE755" s="1275" t="str">
        <f t="shared" si="33"/>
        <v/>
      </c>
      <c r="FF755" s="1288"/>
      <c r="FG755" s="1288"/>
      <c r="FH755" s="1288"/>
      <c r="FI755" s="1276"/>
      <c r="FJ755" s="1275" t="str">
        <f t="shared" si="34"/>
        <v/>
      </c>
      <c r="FK755" s="1288"/>
      <c r="FL755" s="1288"/>
      <c r="FM755" s="1288"/>
      <c r="FN755" s="1276"/>
      <c r="FO755" s="1275" t="str">
        <f t="shared" si="35"/>
        <v/>
      </c>
      <c r="FP755" s="1288"/>
      <c r="FQ755" s="1288"/>
      <c r="FR755" s="1288"/>
      <c r="FS755" s="1276"/>
      <c r="FT755" s="1275" t="str">
        <f t="shared" si="36"/>
        <v/>
      </c>
      <c r="FU755" s="1288"/>
      <c r="FV755" s="1288"/>
      <c r="FW755" s="1288"/>
      <c r="FX755" s="1276"/>
      <c r="FY755" s="1275" t="str">
        <f t="shared" si="37"/>
        <v/>
      </c>
      <c r="FZ755" s="1288"/>
      <c r="GA755" s="1288"/>
      <c r="GB755" s="1288"/>
      <c r="GC755" s="1276"/>
    </row>
    <row r="756" spans="1:185" s="3" customFormat="1" ht="12.95" customHeight="1">
      <c r="A756"/>
      <c r="B756" s="1290"/>
      <c r="C756" s="1291"/>
      <c r="D756" s="1291"/>
      <c r="E756" s="1291"/>
      <c r="F756" s="1292"/>
      <c r="G756" s="1513"/>
      <c r="H756" s="1514"/>
      <c r="I756" s="1514"/>
      <c r="J756" s="1515"/>
      <c r="K756" s="1520"/>
      <c r="L756" s="1521"/>
      <c r="M756" s="1521"/>
      <c r="N756" s="1522"/>
      <c r="O756" s="1406"/>
      <c r="P756" s="1407"/>
      <c r="Q756" s="1407"/>
      <c r="R756" s="1407"/>
      <c r="S756" s="1408"/>
      <c r="T756" s="1406"/>
      <c r="U756" s="1407"/>
      <c r="V756" s="1407"/>
      <c r="W756" s="1408"/>
      <c r="X756" s="1329">
        <f t="shared" si="41"/>
        <v>0</v>
      </c>
      <c r="Y756" s="1330"/>
      <c r="Z756" s="1330"/>
      <c r="AA756" s="1330"/>
      <c r="AB756" s="1331"/>
      <c r="AC756" s="1517"/>
      <c r="AD756" s="1518"/>
      <c r="AE756" s="1518"/>
      <c r="AF756" s="1518"/>
      <c r="AG756" s="1519"/>
      <c r="AH756" s="1311" t="str">
        <f t="shared" si="38"/>
        <v/>
      </c>
      <c r="AI756" s="1312"/>
      <c r="AJ756" s="1313"/>
      <c r="AK756" s="1290" t="s">
        <v>589</v>
      </c>
      <c r="AL756" s="1291"/>
      <c r="AM756" s="1291"/>
      <c r="AN756" s="1291"/>
      <c r="AO756" s="1292"/>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75">
        <f t="shared" si="39"/>
        <v>0</v>
      </c>
      <c r="CH756" s="1276"/>
      <c r="CI756" s="1270">
        <f t="shared" si="40"/>
        <v>0</v>
      </c>
      <c r="CJ756" s="1272"/>
      <c r="CK756" s="1275">
        <f t="shared" si="18"/>
        <v>0</v>
      </c>
      <c r="CL756" s="1276"/>
      <c r="CM756" s="1270">
        <f t="shared" si="19"/>
        <v>0</v>
      </c>
      <c r="CN756" s="1272"/>
      <c r="CP756" s="1267">
        <f t="shared" si="20"/>
        <v>0</v>
      </c>
      <c r="CQ756" s="1268"/>
      <c r="CR756" s="1268"/>
      <c r="CS756" s="1268"/>
      <c r="CT756" s="1269"/>
      <c r="CU756" s="1289">
        <f t="shared" si="21"/>
        <v>0</v>
      </c>
      <c r="CV756" s="1289"/>
      <c r="CW756" s="1289"/>
      <c r="CX756" s="1289"/>
      <c r="CY756" s="1289"/>
      <c r="CZ756" s="1289">
        <f t="shared" si="22"/>
        <v>0</v>
      </c>
      <c r="DA756" s="1289"/>
      <c r="DB756" s="1289"/>
      <c r="DC756" s="1289"/>
      <c r="DD756" s="1289"/>
      <c r="DE756" s="1289">
        <f t="shared" si="23"/>
        <v>0</v>
      </c>
      <c r="DF756" s="1289"/>
      <c r="DG756" s="1289"/>
      <c r="DH756" s="1289"/>
      <c r="DI756" s="1289"/>
      <c r="DJ756" s="1289">
        <f t="shared" si="24"/>
        <v>0</v>
      </c>
      <c r="DK756" s="1289"/>
      <c r="DL756" s="1289"/>
      <c r="DM756" s="1289"/>
      <c r="DN756" s="1289"/>
      <c r="DO756" s="1289">
        <f t="shared" si="25"/>
        <v>0</v>
      </c>
      <c r="DP756" s="1289"/>
      <c r="DQ756" s="1289"/>
      <c r="DR756" s="1289"/>
      <c r="DS756" s="1289"/>
      <c r="DT756" s="6"/>
      <c r="DU756" s="1293">
        <f t="shared" si="26"/>
        <v>0</v>
      </c>
      <c r="DV756" s="1293"/>
      <c r="DW756" s="1293"/>
      <c r="DX756" s="1293"/>
      <c r="DY756" s="1293"/>
      <c r="DZ756" s="1293">
        <f t="shared" si="27"/>
        <v>0</v>
      </c>
      <c r="EA756" s="1293"/>
      <c r="EB756" s="1293"/>
      <c r="EC756" s="1293"/>
      <c r="ED756" s="1293"/>
      <c r="EE756" s="1293">
        <f t="shared" si="28"/>
        <v>0</v>
      </c>
      <c r="EF756" s="1293"/>
      <c r="EG756" s="1293"/>
      <c r="EH756" s="1293"/>
      <c r="EI756" s="1293"/>
      <c r="EJ756" s="1293">
        <f t="shared" si="29"/>
        <v>0</v>
      </c>
      <c r="EK756" s="1293"/>
      <c r="EL756" s="1293"/>
      <c r="EM756" s="1293"/>
      <c r="EN756" s="1293"/>
      <c r="EO756" s="1293">
        <f t="shared" si="30"/>
        <v>0</v>
      </c>
      <c r="EP756" s="1293"/>
      <c r="EQ756" s="1293"/>
      <c r="ER756" s="1293"/>
      <c r="ES756" s="1293"/>
      <c r="ET756" s="1293">
        <f t="shared" si="31"/>
        <v>0</v>
      </c>
      <c r="EU756" s="1293"/>
      <c r="EV756" s="1293"/>
      <c r="EW756" s="1293"/>
      <c r="EX756" s="1293"/>
      <c r="EY756"/>
      <c r="EZ756" s="1275" t="str">
        <f t="shared" si="32"/>
        <v/>
      </c>
      <c r="FA756" s="1288"/>
      <c r="FB756" s="1288"/>
      <c r="FC756" s="1288"/>
      <c r="FD756" s="1276"/>
      <c r="FE756" s="1275" t="str">
        <f t="shared" si="33"/>
        <v/>
      </c>
      <c r="FF756" s="1288"/>
      <c r="FG756" s="1288"/>
      <c r="FH756" s="1288"/>
      <c r="FI756" s="1276"/>
      <c r="FJ756" s="1275" t="str">
        <f t="shared" si="34"/>
        <v/>
      </c>
      <c r="FK756" s="1288"/>
      <c r="FL756" s="1288"/>
      <c r="FM756" s="1288"/>
      <c r="FN756" s="1276"/>
      <c r="FO756" s="1275" t="str">
        <f t="shared" si="35"/>
        <v/>
      </c>
      <c r="FP756" s="1288"/>
      <c r="FQ756" s="1288"/>
      <c r="FR756" s="1288"/>
      <c r="FS756" s="1276"/>
      <c r="FT756" s="1275" t="str">
        <f t="shared" si="36"/>
        <v/>
      </c>
      <c r="FU756" s="1288"/>
      <c r="FV756" s="1288"/>
      <c r="FW756" s="1288"/>
      <c r="FX756" s="1276"/>
      <c r="FY756" s="1275" t="str">
        <f t="shared" si="37"/>
        <v/>
      </c>
      <c r="FZ756" s="1288"/>
      <c r="GA756" s="1288"/>
      <c r="GB756" s="1288"/>
      <c r="GC756" s="1276"/>
    </row>
    <row r="757" spans="1:185" s="3" customFormat="1" ht="12.95" customHeight="1">
      <c r="A757"/>
      <c r="B757" s="1290"/>
      <c r="C757" s="1291"/>
      <c r="D757" s="1291"/>
      <c r="E757" s="1291"/>
      <c r="F757" s="1292"/>
      <c r="G757" s="1513"/>
      <c r="H757" s="1514"/>
      <c r="I757" s="1514"/>
      <c r="J757" s="1515"/>
      <c r="K757" s="1520"/>
      <c r="L757" s="1521"/>
      <c r="M757" s="1521"/>
      <c r="N757" s="1522"/>
      <c r="O757" s="1406"/>
      <c r="P757" s="1407"/>
      <c r="Q757" s="1407"/>
      <c r="R757" s="1407"/>
      <c r="S757" s="1408"/>
      <c r="T757" s="1406"/>
      <c r="U757" s="1407"/>
      <c r="V757" s="1407"/>
      <c r="W757" s="1408"/>
      <c r="X757" s="1329">
        <f t="shared" si="41"/>
        <v>0</v>
      </c>
      <c r="Y757" s="1330"/>
      <c r="Z757" s="1330"/>
      <c r="AA757" s="1330"/>
      <c r="AB757" s="1331"/>
      <c r="AC757" s="1517"/>
      <c r="AD757" s="1518"/>
      <c r="AE757" s="1518"/>
      <c r="AF757" s="1518"/>
      <c r="AG757" s="1519"/>
      <c r="AH757" s="1311" t="str">
        <f t="shared" si="38"/>
        <v/>
      </c>
      <c r="AI757" s="1312"/>
      <c r="AJ757" s="1313"/>
      <c r="AK757" s="1290" t="s">
        <v>589</v>
      </c>
      <c r="AL757" s="1291"/>
      <c r="AM757" s="1291"/>
      <c r="AN757" s="1291"/>
      <c r="AO757" s="1292"/>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75">
        <f t="shared" si="39"/>
        <v>0</v>
      </c>
      <c r="CH757" s="1276"/>
      <c r="CI757" s="1270">
        <f t="shared" si="40"/>
        <v>0</v>
      </c>
      <c r="CJ757" s="1272"/>
      <c r="CK757" s="1275">
        <f t="shared" si="18"/>
        <v>0</v>
      </c>
      <c r="CL757" s="1276"/>
      <c r="CM757" s="1270">
        <f t="shared" si="19"/>
        <v>0</v>
      </c>
      <c r="CN757" s="1272"/>
      <c r="CP757" s="1267">
        <f t="shared" si="20"/>
        <v>0</v>
      </c>
      <c r="CQ757" s="1268"/>
      <c r="CR757" s="1268"/>
      <c r="CS757" s="1268"/>
      <c r="CT757" s="1269"/>
      <c r="CU757" s="1289">
        <f t="shared" si="21"/>
        <v>0</v>
      </c>
      <c r="CV757" s="1289"/>
      <c r="CW757" s="1289"/>
      <c r="CX757" s="1289"/>
      <c r="CY757" s="1289"/>
      <c r="CZ757" s="1289">
        <f t="shared" si="22"/>
        <v>0</v>
      </c>
      <c r="DA757" s="1289"/>
      <c r="DB757" s="1289"/>
      <c r="DC757" s="1289"/>
      <c r="DD757" s="1289"/>
      <c r="DE757" s="1289">
        <f t="shared" si="23"/>
        <v>0</v>
      </c>
      <c r="DF757" s="1289"/>
      <c r="DG757" s="1289"/>
      <c r="DH757" s="1289"/>
      <c r="DI757" s="1289"/>
      <c r="DJ757" s="1289">
        <f t="shared" si="24"/>
        <v>0</v>
      </c>
      <c r="DK757" s="1289"/>
      <c r="DL757" s="1289"/>
      <c r="DM757" s="1289"/>
      <c r="DN757" s="1289"/>
      <c r="DO757" s="1289">
        <f t="shared" si="25"/>
        <v>0</v>
      </c>
      <c r="DP757" s="1289"/>
      <c r="DQ757" s="1289"/>
      <c r="DR757" s="1289"/>
      <c r="DS757" s="1289"/>
      <c r="DT757" s="6"/>
      <c r="DU757" s="1293">
        <f t="shared" si="26"/>
        <v>0</v>
      </c>
      <c r="DV757" s="1293"/>
      <c r="DW757" s="1293"/>
      <c r="DX757" s="1293"/>
      <c r="DY757" s="1293"/>
      <c r="DZ757" s="1293">
        <f t="shared" si="27"/>
        <v>0</v>
      </c>
      <c r="EA757" s="1293"/>
      <c r="EB757" s="1293"/>
      <c r="EC757" s="1293"/>
      <c r="ED757" s="1293"/>
      <c r="EE757" s="1293">
        <f t="shared" si="28"/>
        <v>0</v>
      </c>
      <c r="EF757" s="1293"/>
      <c r="EG757" s="1293"/>
      <c r="EH757" s="1293"/>
      <c r="EI757" s="1293"/>
      <c r="EJ757" s="1293">
        <f t="shared" si="29"/>
        <v>0</v>
      </c>
      <c r="EK757" s="1293"/>
      <c r="EL757" s="1293"/>
      <c r="EM757" s="1293"/>
      <c r="EN757" s="1293"/>
      <c r="EO757" s="1293">
        <f t="shared" si="30"/>
        <v>0</v>
      </c>
      <c r="EP757" s="1293"/>
      <c r="EQ757" s="1293"/>
      <c r="ER757" s="1293"/>
      <c r="ES757" s="1293"/>
      <c r="ET757" s="1293">
        <f t="shared" si="31"/>
        <v>0</v>
      </c>
      <c r="EU757" s="1293"/>
      <c r="EV757" s="1293"/>
      <c r="EW757" s="1293"/>
      <c r="EX757" s="1293"/>
      <c r="EY757"/>
      <c r="EZ757" s="1275" t="str">
        <f t="shared" si="32"/>
        <v/>
      </c>
      <c r="FA757" s="1288"/>
      <c r="FB757" s="1288"/>
      <c r="FC757" s="1288"/>
      <c r="FD757" s="1276"/>
      <c r="FE757" s="1275" t="str">
        <f t="shared" si="33"/>
        <v/>
      </c>
      <c r="FF757" s="1288"/>
      <c r="FG757" s="1288"/>
      <c r="FH757" s="1288"/>
      <c r="FI757" s="1276"/>
      <c r="FJ757" s="1275" t="str">
        <f t="shared" si="34"/>
        <v/>
      </c>
      <c r="FK757" s="1288"/>
      <c r="FL757" s="1288"/>
      <c r="FM757" s="1288"/>
      <c r="FN757" s="1276"/>
      <c r="FO757" s="1275" t="str">
        <f t="shared" si="35"/>
        <v/>
      </c>
      <c r="FP757" s="1288"/>
      <c r="FQ757" s="1288"/>
      <c r="FR757" s="1288"/>
      <c r="FS757" s="1276"/>
      <c r="FT757" s="1275" t="str">
        <f t="shared" si="36"/>
        <v/>
      </c>
      <c r="FU757" s="1288"/>
      <c r="FV757" s="1288"/>
      <c r="FW757" s="1288"/>
      <c r="FX757" s="1276"/>
      <c r="FY757" s="1275" t="str">
        <f t="shared" si="37"/>
        <v/>
      </c>
      <c r="FZ757" s="1288"/>
      <c r="GA757" s="1288"/>
      <c r="GB757" s="1288"/>
      <c r="GC757" s="1276"/>
    </row>
    <row r="758" spans="1:185" s="3" customFormat="1" ht="12.95" customHeight="1">
      <c r="A758"/>
      <c r="B758" s="1290"/>
      <c r="C758" s="1291"/>
      <c r="D758" s="1291"/>
      <c r="E758" s="1291"/>
      <c r="F758" s="1292"/>
      <c r="G758" s="1513"/>
      <c r="H758" s="1514"/>
      <c r="I758" s="1514"/>
      <c r="J758" s="1515"/>
      <c r="K758" s="1520"/>
      <c r="L758" s="1521"/>
      <c r="M758" s="1521"/>
      <c r="N758" s="1522"/>
      <c r="O758" s="1406"/>
      <c r="P758" s="1407"/>
      <c r="Q758" s="1407"/>
      <c r="R758" s="1407"/>
      <c r="S758" s="1408"/>
      <c r="T758" s="1406"/>
      <c r="U758" s="1407"/>
      <c r="V758" s="1407"/>
      <c r="W758" s="1408"/>
      <c r="X758" s="1329">
        <f t="shared" si="41"/>
        <v>0</v>
      </c>
      <c r="Y758" s="1330"/>
      <c r="Z758" s="1330"/>
      <c r="AA758" s="1330"/>
      <c r="AB758" s="1331"/>
      <c r="AC758" s="1517"/>
      <c r="AD758" s="1518"/>
      <c r="AE758" s="1518"/>
      <c r="AF758" s="1518"/>
      <c r="AG758" s="1519"/>
      <c r="AH758" s="1311" t="str">
        <f t="shared" si="38"/>
        <v/>
      </c>
      <c r="AI758" s="1312"/>
      <c r="AJ758" s="1313"/>
      <c r="AK758" s="1290" t="s">
        <v>589</v>
      </c>
      <c r="AL758" s="1291"/>
      <c r="AM758" s="1291"/>
      <c r="AN758" s="1291"/>
      <c r="AO758" s="1292"/>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75">
        <f t="shared" si="39"/>
        <v>0</v>
      </c>
      <c r="CH758" s="1276"/>
      <c r="CI758" s="1270">
        <f t="shared" si="40"/>
        <v>0</v>
      </c>
      <c r="CJ758" s="1272"/>
      <c r="CK758" s="1275">
        <f t="shared" si="18"/>
        <v>0</v>
      </c>
      <c r="CL758" s="1276"/>
      <c r="CM758" s="1270">
        <f t="shared" si="19"/>
        <v>0</v>
      </c>
      <c r="CN758" s="1272"/>
      <c r="CP758" s="1267">
        <f t="shared" si="20"/>
        <v>0</v>
      </c>
      <c r="CQ758" s="1268"/>
      <c r="CR758" s="1268"/>
      <c r="CS758" s="1268"/>
      <c r="CT758" s="1269"/>
      <c r="CU758" s="1289">
        <f t="shared" si="21"/>
        <v>0</v>
      </c>
      <c r="CV758" s="1289"/>
      <c r="CW758" s="1289"/>
      <c r="CX758" s="1289"/>
      <c r="CY758" s="1289"/>
      <c r="CZ758" s="1289">
        <f t="shared" si="22"/>
        <v>0</v>
      </c>
      <c r="DA758" s="1289"/>
      <c r="DB758" s="1289"/>
      <c r="DC758" s="1289"/>
      <c r="DD758" s="1289"/>
      <c r="DE758" s="1289">
        <f t="shared" si="23"/>
        <v>0</v>
      </c>
      <c r="DF758" s="1289"/>
      <c r="DG758" s="1289"/>
      <c r="DH758" s="1289"/>
      <c r="DI758" s="1289"/>
      <c r="DJ758" s="1289">
        <f t="shared" si="24"/>
        <v>0</v>
      </c>
      <c r="DK758" s="1289"/>
      <c r="DL758" s="1289"/>
      <c r="DM758" s="1289"/>
      <c r="DN758" s="1289"/>
      <c r="DO758" s="1289">
        <f t="shared" si="25"/>
        <v>0</v>
      </c>
      <c r="DP758" s="1289"/>
      <c r="DQ758" s="1289"/>
      <c r="DR758" s="1289"/>
      <c r="DS758" s="1289"/>
      <c r="DT758" s="6"/>
      <c r="DU758" s="1293">
        <f t="shared" si="26"/>
        <v>0</v>
      </c>
      <c r="DV758" s="1293"/>
      <c r="DW758" s="1293"/>
      <c r="DX758" s="1293"/>
      <c r="DY758" s="1293"/>
      <c r="DZ758" s="1293">
        <f t="shared" si="27"/>
        <v>0</v>
      </c>
      <c r="EA758" s="1293"/>
      <c r="EB758" s="1293"/>
      <c r="EC758" s="1293"/>
      <c r="ED758" s="1293"/>
      <c r="EE758" s="1293">
        <f t="shared" si="28"/>
        <v>0</v>
      </c>
      <c r="EF758" s="1293"/>
      <c r="EG758" s="1293"/>
      <c r="EH758" s="1293"/>
      <c r="EI758" s="1293"/>
      <c r="EJ758" s="1293">
        <f t="shared" si="29"/>
        <v>0</v>
      </c>
      <c r="EK758" s="1293"/>
      <c r="EL758" s="1293"/>
      <c r="EM758" s="1293"/>
      <c r="EN758" s="1293"/>
      <c r="EO758" s="1293">
        <f t="shared" si="30"/>
        <v>0</v>
      </c>
      <c r="EP758" s="1293"/>
      <c r="EQ758" s="1293"/>
      <c r="ER758" s="1293"/>
      <c r="ES758" s="1293"/>
      <c r="ET758" s="1293">
        <f t="shared" si="31"/>
        <v>0</v>
      </c>
      <c r="EU758" s="1293"/>
      <c r="EV758" s="1293"/>
      <c r="EW758" s="1293"/>
      <c r="EX758" s="1293"/>
      <c r="EY758"/>
      <c r="EZ758" s="1275" t="str">
        <f t="shared" si="32"/>
        <v/>
      </c>
      <c r="FA758" s="1288"/>
      <c r="FB758" s="1288"/>
      <c r="FC758" s="1288"/>
      <c r="FD758" s="1276"/>
      <c r="FE758" s="1275" t="str">
        <f t="shared" si="33"/>
        <v/>
      </c>
      <c r="FF758" s="1288"/>
      <c r="FG758" s="1288"/>
      <c r="FH758" s="1288"/>
      <c r="FI758" s="1276"/>
      <c r="FJ758" s="1275" t="str">
        <f t="shared" si="34"/>
        <v/>
      </c>
      <c r="FK758" s="1288"/>
      <c r="FL758" s="1288"/>
      <c r="FM758" s="1288"/>
      <c r="FN758" s="1276"/>
      <c r="FO758" s="1275" t="str">
        <f t="shared" si="35"/>
        <v/>
      </c>
      <c r="FP758" s="1288"/>
      <c r="FQ758" s="1288"/>
      <c r="FR758" s="1288"/>
      <c r="FS758" s="1276"/>
      <c r="FT758" s="1275" t="str">
        <f t="shared" si="36"/>
        <v/>
      </c>
      <c r="FU758" s="1288"/>
      <c r="FV758" s="1288"/>
      <c r="FW758" s="1288"/>
      <c r="FX758" s="1276"/>
      <c r="FY758" s="1275" t="str">
        <f t="shared" si="37"/>
        <v/>
      </c>
      <c r="FZ758" s="1288"/>
      <c r="GA758" s="1288"/>
      <c r="GB758" s="1288"/>
      <c r="GC758" s="1276"/>
    </row>
    <row r="759" spans="1:185" s="3" customFormat="1" ht="12.95" customHeight="1">
      <c r="A759"/>
      <c r="B759" s="1290"/>
      <c r="C759" s="1291"/>
      <c r="D759" s="1291"/>
      <c r="E759" s="1291"/>
      <c r="F759" s="1292"/>
      <c r="G759" s="1513"/>
      <c r="H759" s="1514"/>
      <c r="I759" s="1514"/>
      <c r="J759" s="1515"/>
      <c r="K759" s="1520"/>
      <c r="L759" s="1521"/>
      <c r="M759" s="1521"/>
      <c r="N759" s="1522"/>
      <c r="O759" s="1406"/>
      <c r="P759" s="1407"/>
      <c r="Q759" s="1407"/>
      <c r="R759" s="1407"/>
      <c r="S759" s="1408"/>
      <c r="T759" s="1406"/>
      <c r="U759" s="1407"/>
      <c r="V759" s="1407"/>
      <c r="W759" s="1408"/>
      <c r="X759" s="1329">
        <f t="shared" si="41"/>
        <v>0</v>
      </c>
      <c r="Y759" s="1330"/>
      <c r="Z759" s="1330"/>
      <c r="AA759" s="1330"/>
      <c r="AB759" s="1331"/>
      <c r="AC759" s="1517"/>
      <c r="AD759" s="1518"/>
      <c r="AE759" s="1518"/>
      <c r="AF759" s="1518"/>
      <c r="AG759" s="1519"/>
      <c r="AH759" s="1311" t="str">
        <f t="shared" si="38"/>
        <v/>
      </c>
      <c r="AI759" s="1312"/>
      <c r="AJ759" s="1313"/>
      <c r="AK759" s="1290" t="s">
        <v>589</v>
      </c>
      <c r="AL759" s="1291"/>
      <c r="AM759" s="1291"/>
      <c r="AN759" s="1291"/>
      <c r="AO759" s="1292"/>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75">
        <f t="shared" si="39"/>
        <v>0</v>
      </c>
      <c r="CH759" s="1276"/>
      <c r="CI759" s="1270">
        <f t="shared" si="40"/>
        <v>0</v>
      </c>
      <c r="CJ759" s="1272"/>
      <c r="CK759" s="1275">
        <f t="shared" si="18"/>
        <v>0</v>
      </c>
      <c r="CL759" s="1276"/>
      <c r="CM759" s="1270">
        <f t="shared" si="19"/>
        <v>0</v>
      </c>
      <c r="CN759" s="1272"/>
      <c r="CP759" s="1267">
        <f t="shared" si="20"/>
        <v>0</v>
      </c>
      <c r="CQ759" s="1268"/>
      <c r="CR759" s="1268"/>
      <c r="CS759" s="1268"/>
      <c r="CT759" s="1269"/>
      <c r="CU759" s="1289">
        <f t="shared" si="21"/>
        <v>0</v>
      </c>
      <c r="CV759" s="1289"/>
      <c r="CW759" s="1289"/>
      <c r="CX759" s="1289"/>
      <c r="CY759" s="1289"/>
      <c r="CZ759" s="1289">
        <f t="shared" si="22"/>
        <v>0</v>
      </c>
      <c r="DA759" s="1289"/>
      <c r="DB759" s="1289"/>
      <c r="DC759" s="1289"/>
      <c r="DD759" s="1289"/>
      <c r="DE759" s="1289">
        <f t="shared" si="23"/>
        <v>0</v>
      </c>
      <c r="DF759" s="1289"/>
      <c r="DG759" s="1289"/>
      <c r="DH759" s="1289"/>
      <c r="DI759" s="1289"/>
      <c r="DJ759" s="1289">
        <f t="shared" si="24"/>
        <v>0</v>
      </c>
      <c r="DK759" s="1289"/>
      <c r="DL759" s="1289"/>
      <c r="DM759" s="1289"/>
      <c r="DN759" s="1289"/>
      <c r="DO759" s="1289">
        <f t="shared" si="25"/>
        <v>0</v>
      </c>
      <c r="DP759" s="1289"/>
      <c r="DQ759" s="1289"/>
      <c r="DR759" s="1289"/>
      <c r="DS759" s="1289"/>
      <c r="DT759" s="6"/>
      <c r="DU759" s="1293">
        <f t="shared" si="26"/>
        <v>0</v>
      </c>
      <c r="DV759" s="1293"/>
      <c r="DW759" s="1293"/>
      <c r="DX759" s="1293"/>
      <c r="DY759" s="1293"/>
      <c r="DZ759" s="1293">
        <f t="shared" si="27"/>
        <v>0</v>
      </c>
      <c r="EA759" s="1293"/>
      <c r="EB759" s="1293"/>
      <c r="EC759" s="1293"/>
      <c r="ED759" s="1293"/>
      <c r="EE759" s="1293">
        <f t="shared" si="28"/>
        <v>0</v>
      </c>
      <c r="EF759" s="1293"/>
      <c r="EG759" s="1293"/>
      <c r="EH759" s="1293"/>
      <c r="EI759" s="1293"/>
      <c r="EJ759" s="1293">
        <f t="shared" si="29"/>
        <v>0</v>
      </c>
      <c r="EK759" s="1293"/>
      <c r="EL759" s="1293"/>
      <c r="EM759" s="1293"/>
      <c r="EN759" s="1293"/>
      <c r="EO759" s="1293">
        <f t="shared" si="30"/>
        <v>0</v>
      </c>
      <c r="EP759" s="1293"/>
      <c r="EQ759" s="1293"/>
      <c r="ER759" s="1293"/>
      <c r="ES759" s="1293"/>
      <c r="ET759" s="1293">
        <f t="shared" si="31"/>
        <v>0</v>
      </c>
      <c r="EU759" s="1293"/>
      <c r="EV759" s="1293"/>
      <c r="EW759" s="1293"/>
      <c r="EX759" s="1293"/>
      <c r="EY759"/>
      <c r="EZ759" s="1275" t="str">
        <f t="shared" si="32"/>
        <v/>
      </c>
      <c r="FA759" s="1288"/>
      <c r="FB759" s="1288"/>
      <c r="FC759" s="1288"/>
      <c r="FD759" s="1276"/>
      <c r="FE759" s="1275" t="str">
        <f t="shared" si="33"/>
        <v/>
      </c>
      <c r="FF759" s="1288"/>
      <c r="FG759" s="1288"/>
      <c r="FH759" s="1288"/>
      <c r="FI759" s="1276"/>
      <c r="FJ759" s="1275" t="str">
        <f t="shared" si="34"/>
        <v/>
      </c>
      <c r="FK759" s="1288"/>
      <c r="FL759" s="1288"/>
      <c r="FM759" s="1288"/>
      <c r="FN759" s="1276"/>
      <c r="FO759" s="1275" t="str">
        <f t="shared" si="35"/>
        <v/>
      </c>
      <c r="FP759" s="1288"/>
      <c r="FQ759" s="1288"/>
      <c r="FR759" s="1288"/>
      <c r="FS759" s="1276"/>
      <c r="FT759" s="1275" t="str">
        <f t="shared" si="36"/>
        <v/>
      </c>
      <c r="FU759" s="1288"/>
      <c r="FV759" s="1288"/>
      <c r="FW759" s="1288"/>
      <c r="FX759" s="1276"/>
      <c r="FY759" s="1275" t="str">
        <f t="shared" si="37"/>
        <v/>
      </c>
      <c r="FZ759" s="1288"/>
      <c r="GA759" s="1288"/>
      <c r="GB759" s="1288"/>
      <c r="GC759" s="1276"/>
    </row>
    <row r="760" spans="1:185" s="3" customFormat="1" ht="12.95" customHeight="1">
      <c r="A760"/>
      <c r="B760" s="1290"/>
      <c r="C760" s="1291"/>
      <c r="D760" s="1291"/>
      <c r="E760" s="1291"/>
      <c r="F760" s="1292"/>
      <c r="G760" s="1513"/>
      <c r="H760" s="1514"/>
      <c r="I760" s="1514"/>
      <c r="J760" s="1515"/>
      <c r="K760" s="1520"/>
      <c r="L760" s="1521"/>
      <c r="M760" s="1521"/>
      <c r="N760" s="1522"/>
      <c r="O760" s="1406"/>
      <c r="P760" s="1407"/>
      <c r="Q760" s="1407"/>
      <c r="R760" s="1407"/>
      <c r="S760" s="1408"/>
      <c r="T760" s="1406"/>
      <c r="U760" s="1407"/>
      <c r="V760" s="1407"/>
      <c r="W760" s="1408"/>
      <c r="X760" s="1329">
        <f>O760+T760</f>
        <v>0</v>
      </c>
      <c r="Y760" s="1330"/>
      <c r="Z760" s="1330"/>
      <c r="AA760" s="1330"/>
      <c r="AB760" s="1331"/>
      <c r="AC760" s="1517"/>
      <c r="AD760" s="1518"/>
      <c r="AE760" s="1518"/>
      <c r="AF760" s="1518"/>
      <c r="AG760" s="1519"/>
      <c r="AH760" s="1311" t="str">
        <f t="shared" si="38"/>
        <v/>
      </c>
      <c r="AI760" s="1312"/>
      <c r="AJ760" s="1313"/>
      <c r="AK760" s="1290" t="s">
        <v>589</v>
      </c>
      <c r="AL760" s="1291"/>
      <c r="AM760" s="1291"/>
      <c r="AN760" s="1291"/>
      <c r="AO760" s="1292"/>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75">
        <f t="shared" si="39"/>
        <v>0</v>
      </c>
      <c r="CH760" s="1276"/>
      <c r="CI760" s="1270">
        <f t="shared" si="40"/>
        <v>0</v>
      </c>
      <c r="CJ760" s="1272"/>
      <c r="CK760" s="1275">
        <f t="shared" si="18"/>
        <v>0</v>
      </c>
      <c r="CL760" s="1276"/>
      <c r="CM760" s="1270">
        <f t="shared" si="19"/>
        <v>0</v>
      </c>
      <c r="CN760" s="1272"/>
      <c r="CP760" s="1267">
        <f t="shared" si="20"/>
        <v>0</v>
      </c>
      <c r="CQ760" s="1268"/>
      <c r="CR760" s="1268"/>
      <c r="CS760" s="1268"/>
      <c r="CT760" s="1269"/>
      <c r="CU760" s="1289">
        <f t="shared" si="21"/>
        <v>0</v>
      </c>
      <c r="CV760" s="1289"/>
      <c r="CW760" s="1289"/>
      <c r="CX760" s="1289"/>
      <c r="CY760" s="1289"/>
      <c r="CZ760" s="1289">
        <f t="shared" si="22"/>
        <v>0</v>
      </c>
      <c r="DA760" s="1289"/>
      <c r="DB760" s="1289"/>
      <c r="DC760" s="1289"/>
      <c r="DD760" s="1289"/>
      <c r="DE760" s="1289">
        <f t="shared" si="23"/>
        <v>0</v>
      </c>
      <c r="DF760" s="1289"/>
      <c r="DG760" s="1289"/>
      <c r="DH760" s="1289"/>
      <c r="DI760" s="1289"/>
      <c r="DJ760" s="1289">
        <f t="shared" si="24"/>
        <v>0</v>
      </c>
      <c r="DK760" s="1289"/>
      <c r="DL760" s="1289"/>
      <c r="DM760" s="1289"/>
      <c r="DN760" s="1289"/>
      <c r="DO760" s="1289">
        <f t="shared" si="25"/>
        <v>0</v>
      </c>
      <c r="DP760" s="1289"/>
      <c r="DQ760" s="1289"/>
      <c r="DR760" s="1289"/>
      <c r="DS760" s="1289"/>
      <c r="DT760" s="6"/>
      <c r="DU760" s="1293">
        <f t="shared" si="26"/>
        <v>0</v>
      </c>
      <c r="DV760" s="1293"/>
      <c r="DW760" s="1293"/>
      <c r="DX760" s="1293"/>
      <c r="DY760" s="1293"/>
      <c r="DZ760" s="1293">
        <f t="shared" si="27"/>
        <v>0</v>
      </c>
      <c r="EA760" s="1293"/>
      <c r="EB760" s="1293"/>
      <c r="EC760" s="1293"/>
      <c r="ED760" s="1293"/>
      <c r="EE760" s="1293">
        <f t="shared" si="28"/>
        <v>0</v>
      </c>
      <c r="EF760" s="1293"/>
      <c r="EG760" s="1293"/>
      <c r="EH760" s="1293"/>
      <c r="EI760" s="1293"/>
      <c r="EJ760" s="1293">
        <f t="shared" si="29"/>
        <v>0</v>
      </c>
      <c r="EK760" s="1293"/>
      <c r="EL760" s="1293"/>
      <c r="EM760" s="1293"/>
      <c r="EN760" s="1293"/>
      <c r="EO760" s="1293">
        <f t="shared" si="30"/>
        <v>0</v>
      </c>
      <c r="EP760" s="1293"/>
      <c r="EQ760" s="1293"/>
      <c r="ER760" s="1293"/>
      <c r="ES760" s="1293"/>
      <c r="ET760" s="1293">
        <f t="shared" si="31"/>
        <v>0</v>
      </c>
      <c r="EU760" s="1293"/>
      <c r="EV760" s="1293"/>
      <c r="EW760" s="1293"/>
      <c r="EX760" s="1293"/>
      <c r="EY760"/>
      <c r="EZ760" s="1275" t="str">
        <f t="shared" si="32"/>
        <v/>
      </c>
      <c r="FA760" s="1288"/>
      <c r="FB760" s="1288"/>
      <c r="FC760" s="1288"/>
      <c r="FD760" s="1276"/>
      <c r="FE760" s="1275" t="str">
        <f t="shared" si="33"/>
        <v/>
      </c>
      <c r="FF760" s="1288"/>
      <c r="FG760" s="1288"/>
      <c r="FH760" s="1288"/>
      <c r="FI760" s="1276"/>
      <c r="FJ760" s="1275" t="str">
        <f t="shared" si="34"/>
        <v/>
      </c>
      <c r="FK760" s="1288"/>
      <c r="FL760" s="1288"/>
      <c r="FM760" s="1288"/>
      <c r="FN760" s="1276"/>
      <c r="FO760" s="1275" t="str">
        <f t="shared" si="35"/>
        <v/>
      </c>
      <c r="FP760" s="1288"/>
      <c r="FQ760" s="1288"/>
      <c r="FR760" s="1288"/>
      <c r="FS760" s="1276"/>
      <c r="FT760" s="1275" t="str">
        <f t="shared" si="36"/>
        <v/>
      </c>
      <c r="FU760" s="1288"/>
      <c r="FV760" s="1288"/>
      <c r="FW760" s="1288"/>
      <c r="FX760" s="1276"/>
      <c r="FY760" s="1275" t="str">
        <f t="shared" si="37"/>
        <v/>
      </c>
      <c r="FZ760" s="1288"/>
      <c r="GA760" s="1288"/>
      <c r="GB760" s="1288"/>
      <c r="GC760" s="1276"/>
    </row>
    <row r="761" spans="1:185" s="3" customFormat="1" ht="12.95" customHeight="1">
      <c r="A761"/>
      <c r="B761" s="1399" t="s">
        <v>125</v>
      </c>
      <c r="C761" s="1400"/>
      <c r="D761" s="1400"/>
      <c r="E761" s="1400"/>
      <c r="F761" s="1402"/>
      <c r="G761" s="1642">
        <f>SUM(G726:G760)</f>
        <v>237</v>
      </c>
      <c r="H761" s="1643"/>
      <c r="I761" s="1643"/>
      <c r="J761" s="1644"/>
      <c r="K761" s="898" t="s">
        <v>124</v>
      </c>
      <c r="L761" s="5"/>
      <c r="M761" s="5"/>
      <c r="N761" s="46"/>
      <c r="O761" s="1329">
        <f>SUMPRODUCT(G726:G760,O726:O760)</f>
        <v>363749</v>
      </c>
      <c r="P761" s="1330"/>
      <c r="Q761" s="1330"/>
      <c r="R761" s="1330"/>
      <c r="S761" s="1331"/>
      <c r="T761"/>
      <c r="U761"/>
      <c r="V761"/>
      <c r="W761"/>
      <c r="X761" s="900" t="s">
        <v>898</v>
      </c>
      <c r="Y761" s="899"/>
      <c r="Z761" s="899"/>
      <c r="AA761" s="899"/>
      <c r="AB761" s="901"/>
      <c r="AC761" s="1538">
        <f>BH761</f>
        <v>0.57468354430379742</v>
      </c>
      <c r="AD761" s="1539"/>
      <c r="AE761" s="1539"/>
      <c r="AF761" s="1539"/>
      <c r="AG761" s="1540"/>
      <c r="AH761" s="1538">
        <f>IFERROR(BU761,"")</f>
        <v>0.57474426944413048</v>
      </c>
      <c r="AI761" s="1539"/>
      <c r="AJ761" s="1540"/>
      <c r="AK761"/>
      <c r="AL761"/>
      <c r="AM761"/>
      <c r="AN761"/>
      <c r="AO761"/>
      <c r="AP761" s="205"/>
      <c r="AQ761" s="205"/>
      <c r="AR761" s="205"/>
      <c r="AS761" s="205"/>
      <c r="AT761"/>
      <c r="AU761"/>
      <c r="AV761"/>
      <c r="AW761"/>
      <c r="AX761"/>
      <c r="AY761"/>
      <c r="AZ761" s="34"/>
      <c r="BA761" s="34"/>
      <c r="BB761" s="34"/>
      <c r="BC761" s="34"/>
      <c r="BE761" s="290" t="s">
        <v>897</v>
      </c>
      <c r="BF761" s="299">
        <f>SUM(BF726:BF760)</f>
        <v>237</v>
      </c>
      <c r="BG761" s="300">
        <f>SUM(BG726:BG760)</f>
        <v>1.0000000000000002</v>
      </c>
      <c r="BH761" s="300">
        <f>SUM(BH726:BH760)</f>
        <v>0.57468354430379742</v>
      </c>
      <c r="BI761"/>
      <c r="BJ761"/>
      <c r="BK761"/>
      <c r="BL761"/>
      <c r="BO761"/>
      <c r="BP761"/>
      <c r="BQ761"/>
      <c r="BR761"/>
      <c r="BS761" s="855">
        <f>SUM(BS726:BS760)</f>
        <v>237</v>
      </c>
      <c r="BT761" s="300">
        <f>SUM(BT726:BT760)</f>
        <v>1.0000000000000002</v>
      </c>
      <c r="BU761" s="300">
        <f>SUM(BU726:BU760)</f>
        <v>0.57474426944413048</v>
      </c>
      <c r="CI761" s="1275">
        <f>SUM(CI726:CJ760)</f>
        <v>24</v>
      </c>
      <c r="CJ761" s="1276"/>
      <c r="CM761" s="1275">
        <f>SUM(CM726:CN760)</f>
        <v>24</v>
      </c>
      <c r="CN761" s="1276"/>
      <c r="CP761" s="1275">
        <f>SUM(CP726:CT760)</f>
        <v>0</v>
      </c>
      <c r="CQ761" s="1288"/>
      <c r="CR761" s="1288"/>
      <c r="CS761" s="1288"/>
      <c r="CT761" s="1276"/>
      <c r="CU761" s="1294">
        <f>SUM(CU726:CY760)</f>
        <v>36</v>
      </c>
      <c r="CV761" s="1294"/>
      <c r="CW761" s="1294"/>
      <c r="CX761" s="1294"/>
      <c r="CY761" s="1294"/>
      <c r="CZ761" s="1294">
        <f>SUM(CZ726:DD760)</f>
        <v>83</v>
      </c>
      <c r="DA761" s="1294"/>
      <c r="DB761" s="1294"/>
      <c r="DC761" s="1294"/>
      <c r="DD761" s="1294"/>
      <c r="DE761" s="1294">
        <f>SUM(DE726:DI760)</f>
        <v>82</v>
      </c>
      <c r="DF761" s="1294"/>
      <c r="DG761" s="1294"/>
      <c r="DH761" s="1294"/>
      <c r="DI761" s="1294"/>
      <c r="DJ761" s="1294">
        <f>SUM(DJ726:DN760)</f>
        <v>36</v>
      </c>
      <c r="DK761" s="1294"/>
      <c r="DL761" s="1294"/>
      <c r="DM761" s="1294"/>
      <c r="DN761" s="1294"/>
      <c r="DO761" s="1294">
        <f>SUM(DO726:DS760)</f>
        <v>0</v>
      </c>
      <c r="DP761" s="1294"/>
      <c r="DQ761" s="1294"/>
      <c r="DR761" s="1294"/>
      <c r="DS761" s="1294"/>
      <c r="DT761" s="354"/>
      <c r="DU761" s="1294">
        <f>SUM(DU726:DY760)</f>
        <v>0</v>
      </c>
      <c r="DV761" s="1294"/>
      <c r="DW761" s="1294"/>
      <c r="DX761" s="1294"/>
      <c r="DY761" s="1294"/>
      <c r="DZ761" s="1294">
        <f>SUM(DZ726:ED760)</f>
        <v>18</v>
      </c>
      <c r="EA761" s="1294"/>
      <c r="EB761" s="1294"/>
      <c r="EC761" s="1294"/>
      <c r="ED761" s="1294"/>
      <c r="EE761" s="1294">
        <f>SUM(EE726:EI760)</f>
        <v>2</v>
      </c>
      <c r="EF761" s="1294"/>
      <c r="EG761" s="1294"/>
      <c r="EH761" s="1294"/>
      <c r="EI761" s="1294"/>
      <c r="EJ761" s="1294">
        <f>SUM(EJ726:EN760)</f>
        <v>2</v>
      </c>
      <c r="EK761" s="1294"/>
      <c r="EL761" s="1294"/>
      <c r="EM761" s="1294"/>
      <c r="EN761" s="1294"/>
      <c r="EO761" s="1294">
        <f>SUM(EO726:ES760)</f>
        <v>2</v>
      </c>
      <c r="EP761" s="1294"/>
      <c r="EQ761" s="1294"/>
      <c r="ER761" s="1294"/>
      <c r="ES761" s="1294"/>
      <c r="ET761" s="1294">
        <f>SUM(ET726:EX760)</f>
        <v>0</v>
      </c>
      <c r="EU761" s="1294"/>
      <c r="EV761" s="1294"/>
      <c r="EW761" s="1294"/>
      <c r="EX761" s="1294"/>
      <c r="EY761"/>
      <c r="EZ761" s="1294">
        <f>SUM(EZ726:FD760)</f>
        <v>0</v>
      </c>
      <c r="FA761" s="1294"/>
      <c r="FB761" s="1294"/>
      <c r="FC761" s="1294"/>
      <c r="FD761" s="1294"/>
      <c r="FE761" s="1294">
        <f>SUM(FE726:FI760)</f>
        <v>2856</v>
      </c>
      <c r="FF761" s="1294"/>
      <c r="FG761" s="1294"/>
      <c r="FH761" s="1294"/>
      <c r="FI761" s="1294"/>
      <c r="FJ761" s="1294">
        <f>SUM(FJ726:FN760)</f>
        <v>5145</v>
      </c>
      <c r="FK761" s="1294"/>
      <c r="FL761" s="1294"/>
      <c r="FM761" s="1294"/>
      <c r="FN761" s="1294"/>
      <c r="FO761" s="1294">
        <f>SUM(FO726:FS760)</f>
        <v>5983</v>
      </c>
      <c r="FP761" s="1294"/>
      <c r="FQ761" s="1294"/>
      <c r="FR761" s="1294"/>
      <c r="FS761" s="1294"/>
      <c r="FT761" s="1294">
        <f>SUM(FT726:FX760)</f>
        <v>6665</v>
      </c>
      <c r="FU761" s="1294"/>
      <c r="FV761" s="1294"/>
      <c r="FW761" s="1294"/>
      <c r="FX761" s="1294"/>
      <c r="FY761" s="1294">
        <f>SUM(FY726:GC760)</f>
        <v>0</v>
      </c>
      <c r="FZ761" s="1294"/>
      <c r="GA761" s="1294"/>
      <c r="GB761" s="1294"/>
      <c r="GC761" s="1294"/>
    </row>
    <row r="762" spans="1:185" s="3" customFormat="1" ht="12.95" customHeight="1">
      <c r="A762"/>
      <c r="B762" s="1541" t="s">
        <v>1864</v>
      </c>
      <c r="C762" s="1541"/>
      <c r="D762" s="1541"/>
      <c r="E762" s="1541"/>
      <c r="F762" s="1541"/>
      <c r="G762" s="1541"/>
      <c r="H762" s="1541"/>
      <c r="I762" s="1541"/>
      <c r="J762" s="1541"/>
      <c r="K762" s="1541"/>
      <c r="L762" s="1541"/>
      <c r="M762" s="1541"/>
      <c r="N762" s="1541"/>
      <c r="O762" s="1541"/>
      <c r="P762" s="1541"/>
      <c r="Q762" s="1541"/>
      <c r="R762" s="1541"/>
      <c r="S762" s="1541"/>
      <c r="T762" s="1541"/>
      <c r="U762" s="1541"/>
      <c r="V762" s="1541"/>
      <c r="W762" s="1541"/>
      <c r="X762" s="1541"/>
      <c r="Y762" s="1541"/>
      <c r="Z762" s="1541"/>
      <c r="AA762" s="1541"/>
      <c r="AB762" s="1541"/>
      <c r="AC762" s="1541"/>
      <c r="AD762" s="1541"/>
      <c r="AE762" s="1541"/>
      <c r="AF762" s="1541"/>
      <c r="AG762" s="1541"/>
      <c r="AH762" s="1541"/>
      <c r="AI762"/>
      <c r="AJ762"/>
      <c r="AK762"/>
      <c r="AT762"/>
      <c r="AU762"/>
      <c r="AV762"/>
      <c r="AW762"/>
      <c r="AX762"/>
      <c r="AY762"/>
      <c r="CD762"/>
      <c r="DN762" s="56" t="s">
        <v>1832</v>
      </c>
      <c r="DO762" s="1275">
        <f>CP761+CU761+CZ761+DE761+DJ761+DO761</f>
        <v>237</v>
      </c>
      <c r="DP762" s="1288"/>
      <c r="DQ762" s="1288"/>
      <c r="DR762" s="1288"/>
      <c r="DS762" s="1276"/>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41"/>
      <c r="C763" s="1541"/>
      <c r="D763" s="1541"/>
      <c r="E763" s="1541"/>
      <c r="F763" s="1541"/>
      <c r="G763" s="1541"/>
      <c r="H763" s="1541"/>
      <c r="I763" s="1541"/>
      <c r="J763" s="1541"/>
      <c r="K763" s="1541"/>
      <c r="L763" s="1541"/>
      <c r="M763" s="1541"/>
      <c r="N763" s="1541"/>
      <c r="O763" s="1541"/>
      <c r="P763" s="1541"/>
      <c r="Q763" s="1541"/>
      <c r="R763" s="1541"/>
      <c r="S763" s="1541"/>
      <c r="T763" s="1541"/>
      <c r="U763" s="1541"/>
      <c r="V763" s="1541"/>
      <c r="W763" s="1541"/>
      <c r="X763" s="1541"/>
      <c r="Y763" s="1541"/>
      <c r="Z763" s="1541"/>
      <c r="AA763" s="1541"/>
      <c r="AB763" s="1541"/>
      <c r="AC763" s="1541"/>
      <c r="AD763" s="1541"/>
      <c r="AE763" s="1541"/>
      <c r="AF763" s="1541"/>
      <c r="AG763" s="1541"/>
      <c r="AH763" s="154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36</v>
      </c>
      <c r="CZ763" s="3"/>
      <c r="DA763" s="3"/>
      <c r="DB763" s="3"/>
      <c r="DC763" s="3"/>
      <c r="DD763" s="857">
        <f>CZ761*2</f>
        <v>166</v>
      </c>
      <c r="DE763" s="3"/>
      <c r="DF763" s="3"/>
      <c r="DG763" s="3"/>
      <c r="DH763" s="3"/>
      <c r="DI763" s="857">
        <f>DE761*3</f>
        <v>246</v>
      </c>
      <c r="DJ763" s="3"/>
      <c r="DK763" s="3"/>
      <c r="DL763" s="3"/>
      <c r="DM763" s="3"/>
      <c r="DN763" s="857">
        <f>DJ761*4</f>
        <v>144</v>
      </c>
      <c r="DO763" s="3"/>
      <c r="DP763" s="3"/>
      <c r="DQ763" s="3"/>
      <c r="DR763" s="3"/>
      <c r="DS763" s="857">
        <f>DO761*5</f>
        <v>0</v>
      </c>
      <c r="DU763" s="857">
        <f>CT763+CY763+DD763+DI763+DN763+DS763</f>
        <v>592</v>
      </c>
      <c r="DV763" s="57" t="s">
        <v>1834</v>
      </c>
      <c r="DW763" s="3"/>
      <c r="DX763" s="3"/>
      <c r="DY763" s="3"/>
      <c r="DZ763" s="3"/>
      <c r="EA763" s="3"/>
      <c r="EB763" s="3"/>
      <c r="EC763" s="3"/>
      <c r="ED763" s="3"/>
      <c r="EE763" s="3"/>
      <c r="EF763" s="3"/>
      <c r="EG763" s="3"/>
      <c r="EH763" s="3"/>
    </row>
    <row r="764" spans="1:185" ht="12.95" customHeight="1">
      <c r="A764" s="3"/>
      <c r="B764" s="3"/>
      <c r="C764" s="118" t="s">
        <v>1862</v>
      </c>
      <c r="D764" s="1027"/>
      <c r="E764" s="1027"/>
      <c r="F764" s="1027"/>
      <c r="G764" s="1028"/>
      <c r="H764" s="1028"/>
      <c r="I764" s="1028"/>
      <c r="J764" s="1028"/>
      <c r="K764" s="1027"/>
      <c r="L764" s="1027"/>
      <c r="M764" s="1027"/>
      <c r="N764" s="1027"/>
      <c r="O764" s="1294">
        <f>DU763</f>
        <v>592</v>
      </c>
      <c r="P764" s="1294"/>
      <c r="Q764" s="1294"/>
      <c r="R764" s="1294"/>
      <c r="S764" s="965"/>
      <c r="T764" s="965"/>
      <c r="U764" s="118" t="s">
        <v>1863</v>
      </c>
      <c r="V764" s="1027"/>
      <c r="W764" s="1027"/>
      <c r="X764" s="1027"/>
      <c r="Y764" s="1028"/>
      <c r="Z764" s="1028"/>
      <c r="AA764" s="1028"/>
      <c r="AB764" s="1028"/>
      <c r="AC764" s="1027"/>
      <c r="AD764" s="1027"/>
      <c r="AE764" s="1027"/>
      <c r="AF764" s="1027"/>
      <c r="AG764" s="1777"/>
      <c r="AH764" s="1777"/>
      <c r="AI764" s="1777"/>
      <c r="AJ764" s="1777"/>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795" t="str">
        <f>IF(G761&lt;&gt;AG449,"! Total Low-Income Units in the Unit Mix Table above does not match the number of Total Low-Income Units on row #"&amp;TEXT(ROW(D449),"#"),"")</f>
        <v/>
      </c>
      <c r="D765" s="1795"/>
      <c r="E765" s="1795"/>
      <c r="F765" s="1795"/>
      <c r="G765" s="1795"/>
      <c r="H765" s="1795"/>
      <c r="I765" s="1795"/>
      <c r="J765" s="1795"/>
      <c r="K765" s="1795"/>
      <c r="L765" s="1795"/>
      <c r="M765" s="1795"/>
      <c r="N765" s="1795"/>
      <c r="O765" s="1795"/>
      <c r="P765" s="1795"/>
      <c r="Q765" s="1795"/>
      <c r="R765" s="1795"/>
      <c r="S765" s="1795"/>
      <c r="T765" s="1795"/>
      <c r="U765" s="1795"/>
      <c r="V765" s="1795"/>
      <c r="W765" s="1795"/>
      <c r="X765" s="1795"/>
      <c r="Y765" s="1795"/>
      <c r="Z765" s="1795"/>
      <c r="AA765" s="1795"/>
      <c r="AB765" s="1795"/>
      <c r="AC765" s="1795"/>
      <c r="AD765" s="1795"/>
      <c r="AE765" s="1795"/>
      <c r="AF765" s="1795"/>
      <c r="AG765" s="1795"/>
      <c r="AH765" s="1795"/>
      <c r="AI765" s="1795"/>
      <c r="AJ765" s="1795"/>
      <c r="AK765" s="1795"/>
      <c r="AL765" s="1795"/>
      <c r="AM765" s="179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795"/>
      <c r="D766" s="1795"/>
      <c r="E766" s="1795"/>
      <c r="F766" s="1795"/>
      <c r="G766" s="1795"/>
      <c r="H766" s="1795"/>
      <c r="I766" s="1795"/>
      <c r="J766" s="1795"/>
      <c r="K766" s="1795"/>
      <c r="L766" s="1795"/>
      <c r="M766" s="1795"/>
      <c r="N766" s="1795"/>
      <c r="O766" s="1795"/>
      <c r="P766" s="1795"/>
      <c r="Q766" s="1795"/>
      <c r="R766" s="1795"/>
      <c r="S766" s="1795"/>
      <c r="T766" s="1795"/>
      <c r="U766" s="1795"/>
      <c r="V766" s="1795"/>
      <c r="W766" s="1795"/>
      <c r="X766" s="1795"/>
      <c r="Y766" s="1795"/>
      <c r="Z766" s="1795"/>
      <c r="AA766" s="1795"/>
      <c r="AB766" s="1795"/>
      <c r="AC766" s="1795"/>
      <c r="AD766" s="1795"/>
      <c r="AE766" s="1795"/>
      <c r="AF766" s="1795"/>
      <c r="AG766" s="1795"/>
      <c r="AH766" s="1795"/>
      <c r="AI766" s="1795"/>
      <c r="AJ766" s="1795"/>
      <c r="AK766" s="1795"/>
      <c r="AL766" s="1795"/>
      <c r="AM766" s="179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5" t="s">
        <v>589</v>
      </c>
      <c r="AE767" s="1645"/>
      <c r="AF767" s="164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574</v>
      </c>
      <c r="B769" s="56"/>
      <c r="C769" s="57" t="s">
        <v>422</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00" t="s">
        <v>2042</v>
      </c>
      <c r="D771" s="1500"/>
      <c r="E771" s="1500"/>
      <c r="F771" s="1500"/>
      <c r="G771" s="1500"/>
      <c r="H771" s="1500"/>
      <c r="I771" s="1500"/>
      <c r="J771" s="1500"/>
      <c r="K771" s="1500"/>
      <c r="L771" s="1500"/>
      <c r="M771" s="1500"/>
      <c r="N771" s="1500"/>
      <c r="O771" s="1500"/>
      <c r="P771" s="1500"/>
      <c r="Q771" s="1500"/>
      <c r="R771" s="1500"/>
      <c r="S771" s="1500"/>
      <c r="T771" s="1500"/>
      <c r="U771" s="1500"/>
      <c r="V771" s="1500"/>
      <c r="W771" s="1500"/>
      <c r="X771" s="1500"/>
      <c r="Y771" s="1500"/>
      <c r="Z771" s="1500"/>
      <c r="AA771" s="1500"/>
      <c r="AB771" s="1500"/>
      <c r="AC771" s="1500"/>
      <c r="AD771" s="1500"/>
      <c r="AE771" s="1500"/>
      <c r="AF771" s="1500"/>
      <c r="AG771" s="1500"/>
      <c r="AH771" s="1500"/>
      <c r="AI771" s="1500"/>
      <c r="AJ771" s="1500"/>
      <c r="AK771" s="1500"/>
      <c r="AL771" s="1500"/>
      <c r="AM771" s="1500"/>
      <c r="AN771" s="1500"/>
      <c r="AO771" s="1500"/>
      <c r="AP771" s="1500"/>
      <c r="AQ771" s="1500"/>
      <c r="AR771" s="1500"/>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00"/>
      <c r="D772" s="1500"/>
      <c r="E772" s="1500"/>
      <c r="F772" s="1500"/>
      <c r="G772" s="1500"/>
      <c r="H772" s="1500"/>
      <c r="I772" s="1500"/>
      <c r="J772" s="1500"/>
      <c r="K772" s="1500"/>
      <c r="L772" s="1500"/>
      <c r="M772" s="1500"/>
      <c r="N772" s="1500"/>
      <c r="O772" s="1500"/>
      <c r="P772" s="1500"/>
      <c r="Q772" s="1500"/>
      <c r="R772" s="1500"/>
      <c r="S772" s="1500"/>
      <c r="T772" s="1500"/>
      <c r="U772" s="1500"/>
      <c r="V772" s="1500"/>
      <c r="W772" s="1500"/>
      <c r="X772" s="1500"/>
      <c r="Y772" s="1500"/>
      <c r="Z772" s="1500"/>
      <c r="AA772" s="1500"/>
      <c r="AB772" s="1500"/>
      <c r="AC772" s="1500"/>
      <c r="AD772" s="1500"/>
      <c r="AE772" s="1500"/>
      <c r="AF772" s="1500"/>
      <c r="AG772" s="1500"/>
      <c r="AH772" s="1500"/>
      <c r="AI772" s="1500"/>
      <c r="AJ772" s="1500"/>
      <c r="AK772" s="1500"/>
      <c r="AL772" s="1500"/>
      <c r="AM772" s="1500"/>
      <c r="AN772" s="1500"/>
      <c r="AO772" s="1500"/>
      <c r="AP772" s="1500"/>
      <c r="AQ772" s="1500"/>
      <c r="AR772" s="1500"/>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00"/>
      <c r="D773" s="1500"/>
      <c r="E773" s="1500"/>
      <c r="F773" s="1500"/>
      <c r="G773" s="1500"/>
      <c r="H773" s="1500"/>
      <c r="I773" s="1500"/>
      <c r="J773" s="1500"/>
      <c r="K773" s="1500"/>
      <c r="L773" s="1500"/>
      <c r="M773" s="1500"/>
      <c r="N773" s="1500"/>
      <c r="O773" s="1500"/>
      <c r="P773" s="1500"/>
      <c r="Q773" s="1500"/>
      <c r="R773" s="1500"/>
      <c r="S773" s="1500"/>
      <c r="T773" s="1500"/>
      <c r="U773" s="1500"/>
      <c r="V773" s="1500"/>
      <c r="W773" s="1500"/>
      <c r="X773" s="1500"/>
      <c r="Y773" s="1500"/>
      <c r="Z773" s="1500"/>
      <c r="AA773" s="1500"/>
      <c r="AB773" s="1500"/>
      <c r="AC773" s="1500"/>
      <c r="AD773" s="1500"/>
      <c r="AE773" s="1500"/>
      <c r="AF773" s="1500"/>
      <c r="AG773" s="1500"/>
      <c r="AH773" s="1500"/>
      <c r="AI773" s="1500"/>
      <c r="AJ773" s="1500"/>
      <c r="AK773" s="1500"/>
      <c r="AL773" s="1500"/>
      <c r="AM773" s="1500"/>
      <c r="AN773" s="1500"/>
      <c r="AO773" s="1500"/>
      <c r="AP773" s="1500"/>
      <c r="AQ773" s="1500"/>
      <c r="AR773" s="1500"/>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00" t="s">
        <v>2043</v>
      </c>
      <c r="D774" s="1500"/>
      <c r="E774" s="1500"/>
      <c r="F774" s="1500"/>
      <c r="G774" s="1500"/>
      <c r="H774" s="1500"/>
      <c r="I774" s="1500"/>
      <c r="J774" s="1500"/>
      <c r="K774" s="1500"/>
      <c r="L774" s="1500"/>
      <c r="M774" s="1500"/>
      <c r="N774" s="1500"/>
      <c r="O774" s="1500"/>
      <c r="P774" s="1500"/>
      <c r="Q774" s="1500"/>
      <c r="R774" s="1500"/>
      <c r="S774" s="1500"/>
      <c r="T774" s="1500"/>
      <c r="U774" s="1500"/>
      <c r="V774" s="1500"/>
      <c r="W774" s="1500"/>
      <c r="X774" s="1500"/>
      <c r="Y774" s="1500"/>
      <c r="Z774" s="1500"/>
      <c r="AA774" s="1500"/>
      <c r="AB774" s="1500"/>
      <c r="AC774" s="1500"/>
      <c r="AD774" s="1500"/>
      <c r="AE774" s="1500"/>
      <c r="AF774" s="1500"/>
      <c r="AG774" s="1500"/>
      <c r="AH774" s="1500"/>
      <c r="AI774" s="1500"/>
      <c r="AJ774" s="1500"/>
      <c r="AK774" s="1500"/>
      <c r="AL774" s="1500"/>
      <c r="AM774" s="1500"/>
      <c r="AN774" s="1500"/>
      <c r="AO774" s="1500"/>
      <c r="AP774" s="1500"/>
      <c r="AQ774" s="1500"/>
      <c r="AR774" s="1500"/>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00"/>
      <c r="D775" s="1500"/>
      <c r="E775" s="1500"/>
      <c r="F775" s="1500"/>
      <c r="G775" s="1500"/>
      <c r="H775" s="1500"/>
      <c r="I775" s="1500"/>
      <c r="J775" s="1500"/>
      <c r="K775" s="1500"/>
      <c r="L775" s="1500"/>
      <c r="M775" s="1500"/>
      <c r="N775" s="1500"/>
      <c r="O775" s="1500"/>
      <c r="P775" s="1500"/>
      <c r="Q775" s="1500"/>
      <c r="R775" s="1500"/>
      <c r="S775" s="1500"/>
      <c r="T775" s="1500"/>
      <c r="U775" s="1500"/>
      <c r="V775" s="1500"/>
      <c r="W775" s="1500"/>
      <c r="X775" s="1500"/>
      <c r="Y775" s="1500"/>
      <c r="Z775" s="1500"/>
      <c r="AA775" s="1500"/>
      <c r="AB775" s="1500"/>
      <c r="AC775" s="1500"/>
      <c r="AD775" s="1500"/>
      <c r="AE775" s="1500"/>
      <c r="AF775" s="1500"/>
      <c r="AG775" s="1500"/>
      <c r="AH775" s="1500"/>
      <c r="AI775" s="1500"/>
      <c r="AJ775" s="1500"/>
      <c r="AK775" s="1500"/>
      <c r="AL775" s="1500"/>
      <c r="AM775" s="1500"/>
      <c r="AN775" s="1500"/>
      <c r="AO775" s="1500"/>
      <c r="AP775" s="1500"/>
      <c r="AQ775" s="1500"/>
      <c r="AR775" s="1500"/>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00"/>
      <c r="D776" s="1500"/>
      <c r="E776" s="1500"/>
      <c r="F776" s="1500"/>
      <c r="G776" s="1500"/>
      <c r="H776" s="1500"/>
      <c r="I776" s="1500"/>
      <c r="J776" s="1500"/>
      <c r="K776" s="1500"/>
      <c r="L776" s="1500"/>
      <c r="M776" s="1500"/>
      <c r="N776" s="1500"/>
      <c r="O776" s="1500"/>
      <c r="P776" s="1500"/>
      <c r="Q776" s="1500"/>
      <c r="R776" s="1500"/>
      <c r="S776" s="1500"/>
      <c r="T776" s="1500"/>
      <c r="U776" s="1500"/>
      <c r="V776" s="1500"/>
      <c r="W776" s="1500"/>
      <c r="X776" s="1500"/>
      <c r="Y776" s="1500"/>
      <c r="Z776" s="1500"/>
      <c r="AA776" s="1500"/>
      <c r="AB776" s="1500"/>
      <c r="AC776" s="1500"/>
      <c r="AD776" s="1500"/>
      <c r="AE776" s="1500"/>
      <c r="AF776" s="1500"/>
      <c r="AG776" s="1500"/>
      <c r="AH776" s="1500"/>
      <c r="AI776" s="1500"/>
      <c r="AJ776" s="1500"/>
      <c r="AK776" s="1500"/>
      <c r="AL776" s="1500"/>
      <c r="AM776" s="1500"/>
      <c r="AN776" s="1500"/>
      <c r="AO776" s="1500"/>
      <c r="AP776" s="1500"/>
      <c r="AQ776" s="1500"/>
      <c r="AR776" s="1500"/>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25" t="s">
        <v>387</v>
      </c>
      <c r="K777" s="1298"/>
      <c r="L777" s="1298"/>
      <c r="M777" s="1298"/>
      <c r="N777" s="1299"/>
      <c r="O777" s="1547" t="s">
        <v>284</v>
      </c>
      <c r="P777" s="1547"/>
      <c r="Q777" s="1547"/>
      <c r="R777" s="1547"/>
      <c r="S777" s="1547"/>
      <c r="T777" s="1526" t="s">
        <v>1666</v>
      </c>
      <c r="U777" s="1527"/>
      <c r="V777" s="1527"/>
      <c r="W777" s="1528"/>
      <c r="X777" s="1525" t="s">
        <v>445</v>
      </c>
      <c r="Y777" s="1298"/>
      <c r="Z777" s="1298"/>
      <c r="AA777" s="1298"/>
      <c r="AB777" s="1299"/>
      <c r="AC777" s="1525" t="s">
        <v>285</v>
      </c>
      <c r="AD777" s="1298"/>
      <c r="AE777" s="1298"/>
      <c r="AF777" s="1298"/>
      <c r="AG777" s="1299"/>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00"/>
      <c r="K778" s="1301"/>
      <c r="L778" s="1301"/>
      <c r="M778" s="1301"/>
      <c r="N778" s="1302"/>
      <c r="O778" s="1547"/>
      <c r="P778" s="1547"/>
      <c r="Q778" s="1547"/>
      <c r="R778" s="1547"/>
      <c r="S778" s="1547"/>
      <c r="T778" s="1529"/>
      <c r="U778" s="1530"/>
      <c r="V778" s="1530"/>
      <c r="W778" s="1531"/>
      <c r="X778" s="1300"/>
      <c r="Y778" s="1301"/>
      <c r="Z778" s="1301"/>
      <c r="AA778" s="1301"/>
      <c r="AB778" s="1302"/>
      <c r="AC778" s="1300"/>
      <c r="AD778" s="1301"/>
      <c r="AE778" s="1301"/>
      <c r="AF778" s="1301"/>
      <c r="AG778" s="1302"/>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00"/>
      <c r="K779" s="1301"/>
      <c r="L779" s="1301"/>
      <c r="M779" s="1301"/>
      <c r="N779" s="1302"/>
      <c r="O779" s="1547"/>
      <c r="P779" s="1547"/>
      <c r="Q779" s="1547"/>
      <c r="R779" s="1547"/>
      <c r="S779" s="1547"/>
      <c r="T779" s="1529"/>
      <c r="U779" s="1530"/>
      <c r="V779" s="1530"/>
      <c r="W779" s="1531"/>
      <c r="X779" s="1300"/>
      <c r="Y779" s="1301"/>
      <c r="Z779" s="1301"/>
      <c r="AA779" s="1301"/>
      <c r="AB779" s="1302"/>
      <c r="AC779" s="1300"/>
      <c r="AD779" s="1301"/>
      <c r="AE779" s="1301"/>
      <c r="AF779" s="1301"/>
      <c r="AG779" s="1302"/>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03"/>
      <c r="K780" s="1304"/>
      <c r="L780" s="1304"/>
      <c r="M780" s="1304"/>
      <c r="N780" s="1305"/>
      <c r="O780" s="1547"/>
      <c r="P780" s="1547"/>
      <c r="Q780" s="1547"/>
      <c r="R780" s="1547"/>
      <c r="S780" s="1547"/>
      <c r="T780" s="1532"/>
      <c r="U780" s="1533"/>
      <c r="V780" s="1533"/>
      <c r="W780" s="1534"/>
      <c r="X780" s="1303"/>
      <c r="Y780" s="1304"/>
      <c r="Z780" s="1304"/>
      <c r="AA780" s="1304"/>
      <c r="AB780" s="1305"/>
      <c r="AC780" s="1303"/>
      <c r="AD780" s="1304"/>
      <c r="AE780" s="1304"/>
      <c r="AF780" s="1304"/>
      <c r="AG780" s="1305"/>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90" t="s">
        <v>163</v>
      </c>
      <c r="K781" s="1291"/>
      <c r="L781" s="1291"/>
      <c r="M781" s="1291"/>
      <c r="N781" s="1292"/>
      <c r="O781" s="1432">
        <v>1</v>
      </c>
      <c r="P781" s="1432"/>
      <c r="Q781" s="1432"/>
      <c r="R781" s="1432"/>
      <c r="S781" s="1432"/>
      <c r="T781" s="1520">
        <v>855</v>
      </c>
      <c r="U781" s="1521"/>
      <c r="V781" s="1521"/>
      <c r="W781" s="1522"/>
      <c r="X781" s="1406">
        <v>0</v>
      </c>
      <c r="Y781" s="1407"/>
      <c r="Z781" s="1407"/>
      <c r="AA781" s="1407"/>
      <c r="AB781" s="1408"/>
      <c r="AC781" s="1329">
        <f>X781*O781</f>
        <v>0</v>
      </c>
      <c r="AD781" s="1330"/>
      <c r="AE781" s="1330"/>
      <c r="AF781" s="1330"/>
      <c r="AG781" s="1331"/>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7">
        <f>IF(J781="SRO/Studio",O781,0)</f>
        <v>0</v>
      </c>
      <c r="CQ781" s="1268"/>
      <c r="CR781" s="1268"/>
      <c r="CS781" s="1268"/>
      <c r="CT781" s="1269"/>
      <c r="CU781" s="1289">
        <f>IF(J781="1 Bedroom",O781,0)</f>
        <v>0</v>
      </c>
      <c r="CV781" s="1289"/>
      <c r="CW781" s="1289"/>
      <c r="CX781" s="1289"/>
      <c r="CY781" s="1289"/>
      <c r="CZ781" s="1289">
        <f>IF(J781="2 Bedrooms",O781,0)</f>
        <v>1</v>
      </c>
      <c r="DA781" s="1289"/>
      <c r="DB781" s="1289"/>
      <c r="DC781" s="1289"/>
      <c r="DD781" s="1289"/>
      <c r="DE781" s="1289">
        <f>IF(J781="3 Bedrooms",O781,0)</f>
        <v>0</v>
      </c>
      <c r="DF781" s="1289"/>
      <c r="DG781" s="1289"/>
      <c r="DH781" s="1289"/>
      <c r="DI781" s="1289"/>
      <c r="DJ781" s="1289">
        <f>IF(J781="4 Bedrooms",O781,0)</f>
        <v>0</v>
      </c>
      <c r="DK781" s="1289"/>
      <c r="DL781" s="1289"/>
      <c r="DM781" s="1289"/>
      <c r="DN781" s="1289"/>
      <c r="DO781" s="1289">
        <f>IF(J781="5 Bedrooms",O781,0)</f>
        <v>0</v>
      </c>
      <c r="DP781" s="1289"/>
      <c r="DQ781" s="1289"/>
      <c r="DR781" s="1289"/>
      <c r="DS781" s="1289"/>
      <c r="DT781" s="6"/>
      <c r="DU781" s="3"/>
      <c r="DV781" s="3"/>
    </row>
    <row r="782" spans="1:159" ht="12.95" customHeight="1">
      <c r="J782" s="1290" t="s">
        <v>164</v>
      </c>
      <c r="K782" s="1291"/>
      <c r="L782" s="1291"/>
      <c r="M782" s="1291"/>
      <c r="N782" s="1292"/>
      <c r="O782" s="1432">
        <v>2</v>
      </c>
      <c r="P782" s="1432"/>
      <c r="Q782" s="1432"/>
      <c r="R782" s="1432"/>
      <c r="S782" s="1432"/>
      <c r="T782" s="1520">
        <v>1026</v>
      </c>
      <c r="U782" s="1521"/>
      <c r="V782" s="1521"/>
      <c r="W782" s="1522"/>
      <c r="X782" s="1406">
        <v>0</v>
      </c>
      <c r="Y782" s="1407"/>
      <c r="Z782" s="1407"/>
      <c r="AA782" s="1407"/>
      <c r="AB782" s="1408"/>
      <c r="AC782" s="1329">
        <f>X782*O782</f>
        <v>0</v>
      </c>
      <c r="AD782" s="1330"/>
      <c r="AE782" s="1330"/>
      <c r="AF782" s="1330"/>
      <c r="AG782" s="1331"/>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7">
        <f>IF(J782="SRO/Studio",O782,0)</f>
        <v>0</v>
      </c>
      <c r="CQ782" s="1268"/>
      <c r="CR782" s="1268"/>
      <c r="CS782" s="1268"/>
      <c r="CT782" s="1269"/>
      <c r="CU782" s="1289">
        <f>IF(J782="1 Bedroom",O782,0)</f>
        <v>0</v>
      </c>
      <c r="CV782" s="1289"/>
      <c r="CW782" s="1289"/>
      <c r="CX782" s="1289"/>
      <c r="CY782" s="1289"/>
      <c r="CZ782" s="1289">
        <f>IF(J782="2 Bedrooms",O782,0)</f>
        <v>0</v>
      </c>
      <c r="DA782" s="1289"/>
      <c r="DB782" s="1289"/>
      <c r="DC782" s="1289"/>
      <c r="DD782" s="1289"/>
      <c r="DE782" s="1289">
        <f>IF(J782="3 Bedrooms",O782,0)</f>
        <v>2</v>
      </c>
      <c r="DF782" s="1289"/>
      <c r="DG782" s="1289"/>
      <c r="DH782" s="1289"/>
      <c r="DI782" s="1289"/>
      <c r="DJ782" s="1289">
        <f>IF(J782="4 Bedrooms",O782,0)</f>
        <v>0</v>
      </c>
      <c r="DK782" s="1289"/>
      <c r="DL782" s="1289"/>
      <c r="DM782" s="1289"/>
      <c r="DN782" s="1289"/>
      <c r="DO782" s="1289">
        <f>IF(J782="5 Bedrooms",O782,0)</f>
        <v>0</v>
      </c>
      <c r="DP782" s="1289"/>
      <c r="DQ782" s="1289"/>
      <c r="DR782" s="1289"/>
      <c r="DS782" s="1289"/>
      <c r="DT782" s="6"/>
      <c r="DU782" s="3"/>
      <c r="DV782" s="3"/>
    </row>
    <row r="783" spans="1:159" ht="12.95" customHeight="1">
      <c r="J783" s="1290"/>
      <c r="K783" s="1291"/>
      <c r="L783" s="1291"/>
      <c r="M783" s="1291"/>
      <c r="N783" s="1292"/>
      <c r="O783" s="1432"/>
      <c r="P783" s="1432"/>
      <c r="Q783" s="1432"/>
      <c r="R783" s="1432"/>
      <c r="S783" s="1432"/>
      <c r="T783" s="1520"/>
      <c r="U783" s="1521"/>
      <c r="V783" s="1521"/>
      <c r="W783" s="1522"/>
      <c r="X783" s="1406"/>
      <c r="Y783" s="1407"/>
      <c r="Z783" s="1407"/>
      <c r="AA783" s="1407"/>
      <c r="AB783" s="1408"/>
      <c r="AC783" s="1329">
        <f>X783*O783</f>
        <v>0</v>
      </c>
      <c r="AD783" s="1330"/>
      <c r="AE783" s="1330"/>
      <c r="AF783" s="1330"/>
      <c r="AG783" s="1331"/>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7">
        <f>IF(J783="SRO/Studio",O783,0)</f>
        <v>0</v>
      </c>
      <c r="CQ783" s="1268"/>
      <c r="CR783" s="1268"/>
      <c r="CS783" s="1268"/>
      <c r="CT783" s="1269"/>
      <c r="CU783" s="1289">
        <f>IF(J783="1 Bedroom",O783,0)</f>
        <v>0</v>
      </c>
      <c r="CV783" s="1289"/>
      <c r="CW783" s="1289"/>
      <c r="CX783" s="1289"/>
      <c r="CY783" s="1289"/>
      <c r="CZ783" s="1289">
        <f>IF(J783="2 Bedrooms",O783,0)</f>
        <v>0</v>
      </c>
      <c r="DA783" s="1289"/>
      <c r="DB783" s="1289"/>
      <c r="DC783" s="1289"/>
      <c r="DD783" s="1289"/>
      <c r="DE783" s="1289">
        <f>IF(J783="3 Bedrooms",O783,0)</f>
        <v>0</v>
      </c>
      <c r="DF783" s="1289"/>
      <c r="DG783" s="1289"/>
      <c r="DH783" s="1289"/>
      <c r="DI783" s="1289"/>
      <c r="DJ783" s="1289">
        <f>IF(J783="4 Bedrooms",O783,0)</f>
        <v>0</v>
      </c>
      <c r="DK783" s="1289"/>
      <c r="DL783" s="1289"/>
      <c r="DM783" s="1289"/>
      <c r="DN783" s="1289"/>
      <c r="DO783" s="1289">
        <f>IF(J783="5 Bedrooms",O783,0)</f>
        <v>0</v>
      </c>
      <c r="DP783" s="1289"/>
      <c r="DQ783" s="1289"/>
      <c r="DR783" s="1289"/>
      <c r="DS783" s="1289"/>
      <c r="DT783" s="1007"/>
    </row>
    <row r="784" spans="1:159" ht="12.95" customHeight="1">
      <c r="J784" s="1290"/>
      <c r="K784" s="1291"/>
      <c r="L784" s="1291"/>
      <c r="M784" s="1291"/>
      <c r="N784" s="1292"/>
      <c r="O784" s="1432"/>
      <c r="P784" s="1432"/>
      <c r="Q784" s="1432"/>
      <c r="R784" s="1432"/>
      <c r="S784" s="1432"/>
      <c r="T784" s="1520"/>
      <c r="U784" s="1521"/>
      <c r="V784" s="1521"/>
      <c r="W784" s="1522"/>
      <c r="X784" s="1406"/>
      <c r="Y784" s="1407"/>
      <c r="Z784" s="1407"/>
      <c r="AA784" s="1407"/>
      <c r="AB784" s="1408"/>
      <c r="AC784" s="1329">
        <f>X784*O784</f>
        <v>0</v>
      </c>
      <c r="AD784" s="1330"/>
      <c r="AE784" s="1330"/>
      <c r="AF784" s="1330"/>
      <c r="AG784" s="1331"/>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7">
        <f>IF(J784="SRO/Studio",O784,0)</f>
        <v>0</v>
      </c>
      <c r="CQ784" s="1268"/>
      <c r="CR784" s="1268"/>
      <c r="CS784" s="1268"/>
      <c r="CT784" s="1269"/>
      <c r="CU784" s="1289">
        <f>IF(J784="1 Bedroom",O784,0)</f>
        <v>0</v>
      </c>
      <c r="CV784" s="1289"/>
      <c r="CW784" s="1289"/>
      <c r="CX784" s="1289"/>
      <c r="CY784" s="1289"/>
      <c r="CZ784" s="1289">
        <f>IF(J784="2 Bedrooms",O784,0)</f>
        <v>0</v>
      </c>
      <c r="DA784" s="1289"/>
      <c r="DB784" s="1289"/>
      <c r="DC784" s="1289"/>
      <c r="DD784" s="1289"/>
      <c r="DE784" s="1289">
        <f>IF(J784="3 Bedrooms",O784,0)</f>
        <v>0</v>
      </c>
      <c r="DF784" s="1289"/>
      <c r="DG784" s="1289"/>
      <c r="DH784" s="1289"/>
      <c r="DI784" s="1289"/>
      <c r="DJ784" s="1289">
        <f>IF(J784="4 Bedrooms",O784,0)</f>
        <v>0</v>
      </c>
      <c r="DK784" s="1289"/>
      <c r="DL784" s="1289"/>
      <c r="DM784" s="1289"/>
      <c r="DN784" s="1289"/>
      <c r="DO784" s="1289">
        <f>IF(J784="5 Bedrooms",O784,0)</f>
        <v>0</v>
      </c>
      <c r="DP784" s="1289"/>
      <c r="DQ784" s="1289"/>
      <c r="DR784" s="1289"/>
      <c r="DS784" s="1289"/>
    </row>
    <row r="785" spans="1:154" ht="12.95" customHeight="1">
      <c r="J785" s="1399" t="s">
        <v>125</v>
      </c>
      <c r="K785" s="1400"/>
      <c r="L785" s="1400"/>
      <c r="M785" s="1400"/>
      <c r="N785" s="1402"/>
      <c r="O785" s="1270">
        <f>SUM(O781:S784)</f>
        <v>3</v>
      </c>
      <c r="P785" s="1271"/>
      <c r="Q785" s="1271"/>
      <c r="R785" s="1271"/>
      <c r="S785" s="1272"/>
      <c r="X785" s="1399" t="s">
        <v>124</v>
      </c>
      <c r="Y785" s="1400"/>
      <c r="Z785" s="1400"/>
      <c r="AA785" s="1400"/>
      <c r="AB785" s="1402"/>
      <c r="AC785" s="1329">
        <f>SUM(AC781:AG784)</f>
        <v>0</v>
      </c>
      <c r="AD785" s="1330"/>
      <c r="AE785" s="1330"/>
      <c r="AF785" s="1330"/>
      <c r="AG785" s="1331"/>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70">
        <f>SUM(CP781:CT784)</f>
        <v>0</v>
      </c>
      <c r="CQ785" s="1271"/>
      <c r="CR785" s="1271"/>
      <c r="CS785" s="1271"/>
      <c r="CT785" s="1272"/>
      <c r="CU785" s="1277">
        <f>SUM(CU781:CY784)</f>
        <v>0</v>
      </c>
      <c r="CV785" s="1278"/>
      <c r="CW785" s="1278"/>
      <c r="CX785" s="1278"/>
      <c r="CY785" s="1279"/>
      <c r="CZ785" s="1277">
        <f>SUM(CZ781:DD784)</f>
        <v>1</v>
      </c>
      <c r="DA785" s="1278"/>
      <c r="DB785" s="1278"/>
      <c r="DC785" s="1278"/>
      <c r="DD785" s="1279"/>
      <c r="DE785" s="1277">
        <f>SUM(DE781:DI784)</f>
        <v>2</v>
      </c>
      <c r="DF785" s="1278"/>
      <c r="DG785" s="1278"/>
      <c r="DH785" s="1278"/>
      <c r="DI785" s="1279"/>
      <c r="DJ785" s="1277">
        <f>SUM(DJ781:DN784)</f>
        <v>0</v>
      </c>
      <c r="DK785" s="1278"/>
      <c r="DL785" s="1278"/>
      <c r="DM785" s="1278"/>
      <c r="DN785" s="1279"/>
      <c r="DO785" s="1277">
        <f>SUM(DO781:DS784)</f>
        <v>0</v>
      </c>
      <c r="DP785" s="1278"/>
      <c r="DQ785" s="1278"/>
      <c r="DR785" s="1278"/>
      <c r="DS785" s="1279"/>
      <c r="DU785" s="857">
        <f>CP785+CU785+CZ785+DE785+DJ785+DO785</f>
        <v>3</v>
      </c>
      <c r="DV785" s="57" t="s">
        <v>1831</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6</v>
      </c>
      <c r="DJ786" s="3"/>
      <c r="DK786" s="3"/>
      <c r="DL786" s="3"/>
      <c r="DM786" s="3"/>
      <c r="DN786" s="857">
        <f>DJ785*4</f>
        <v>0</v>
      </c>
      <c r="DO786" s="3"/>
      <c r="DP786" s="3"/>
      <c r="DQ786" s="3"/>
      <c r="DR786" s="3"/>
      <c r="DS786" s="857">
        <f>DO785*5</f>
        <v>0</v>
      </c>
      <c r="DU786" s="857">
        <f>CT786+CY786+DD786+DI786+DN786+DS786</f>
        <v>8</v>
      </c>
      <c r="DV786" s="57" t="s">
        <v>1833</v>
      </c>
    </row>
    <row r="787" spans="1:154" ht="12.95" customHeight="1">
      <c r="B787" s="56"/>
      <c r="C787" s="56"/>
      <c r="D787" s="56"/>
      <c r="E787" s="56"/>
      <c r="F787" s="56"/>
      <c r="G787" s="6"/>
      <c r="H787" s="6"/>
      <c r="I787" s="6"/>
      <c r="J787" s="1316" t="s">
        <v>667</v>
      </c>
      <c r="K787" s="1316"/>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584</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25" t="s">
        <v>387</v>
      </c>
      <c r="K791" s="1298"/>
      <c r="L791" s="1298"/>
      <c r="M791" s="1298"/>
      <c r="N791" s="1299"/>
      <c r="O791" s="1547" t="s">
        <v>284</v>
      </c>
      <c r="P791" s="1547"/>
      <c r="Q791" s="1547"/>
      <c r="R791" s="1547"/>
      <c r="S791" s="1547"/>
      <c r="T791" s="1526" t="s">
        <v>1666</v>
      </c>
      <c r="U791" s="1527"/>
      <c r="V791" s="1527"/>
      <c r="W791" s="1528"/>
      <c r="X791" s="1525" t="s">
        <v>445</v>
      </c>
      <c r="Y791" s="1298"/>
      <c r="Z791" s="1298"/>
      <c r="AA791" s="1298"/>
      <c r="AB791" s="1299"/>
      <c r="AC791" s="1525" t="s">
        <v>285</v>
      </c>
      <c r="AD791" s="1298"/>
      <c r="AE791" s="1298"/>
      <c r="AF791" s="1298"/>
      <c r="AG791" s="129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00"/>
      <c r="K792" s="1301"/>
      <c r="L792" s="1301"/>
      <c r="M792" s="1301"/>
      <c r="N792" s="1302"/>
      <c r="O792" s="1547"/>
      <c r="P792" s="1547"/>
      <c r="Q792" s="1547"/>
      <c r="R792" s="1547"/>
      <c r="S792" s="1547"/>
      <c r="T792" s="1529"/>
      <c r="U792" s="1530"/>
      <c r="V792" s="1530"/>
      <c r="W792" s="1531"/>
      <c r="X792" s="1300"/>
      <c r="Y792" s="1301"/>
      <c r="Z792" s="1301"/>
      <c r="AA792" s="1301"/>
      <c r="AB792" s="1302"/>
      <c r="AC792" s="1300"/>
      <c r="AD792" s="1301"/>
      <c r="AE792" s="1301"/>
      <c r="AF792" s="1301"/>
      <c r="AG792" s="130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00"/>
      <c r="K793" s="1301"/>
      <c r="L793" s="1301"/>
      <c r="M793" s="1301"/>
      <c r="N793" s="1302"/>
      <c r="O793" s="1547"/>
      <c r="P793" s="1547"/>
      <c r="Q793" s="1547"/>
      <c r="R793" s="1547"/>
      <c r="S793" s="1547"/>
      <c r="T793" s="1529"/>
      <c r="U793" s="1530"/>
      <c r="V793" s="1530"/>
      <c r="W793" s="1531"/>
      <c r="X793" s="1300"/>
      <c r="Y793" s="1301"/>
      <c r="Z793" s="1301"/>
      <c r="AA793" s="1301"/>
      <c r="AB793" s="1302"/>
      <c r="AC793" s="1300"/>
      <c r="AD793" s="1301"/>
      <c r="AE793" s="1301"/>
      <c r="AF793" s="1301"/>
      <c r="AG793" s="1302"/>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03"/>
      <c r="K794" s="1304"/>
      <c r="L794" s="1304"/>
      <c r="M794" s="1304"/>
      <c r="N794" s="1305"/>
      <c r="O794" s="1547"/>
      <c r="P794" s="1547"/>
      <c r="Q794" s="1547"/>
      <c r="R794" s="1547"/>
      <c r="S794" s="1547"/>
      <c r="T794" s="1532"/>
      <c r="U794" s="1533"/>
      <c r="V794" s="1533"/>
      <c r="W794" s="1534"/>
      <c r="X794" s="1303"/>
      <c r="Y794" s="1304"/>
      <c r="Z794" s="1304"/>
      <c r="AA794" s="1304"/>
      <c r="AB794" s="1305"/>
      <c r="AC794" s="1303"/>
      <c r="AD794" s="1304"/>
      <c r="AE794" s="1304"/>
      <c r="AF794" s="1304"/>
      <c r="AG794" s="130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2.95" customHeight="1">
      <c r="J795" s="1290"/>
      <c r="K795" s="1291"/>
      <c r="L795" s="1291"/>
      <c r="M795" s="1291"/>
      <c r="N795" s="1292"/>
      <c r="O795" s="1432"/>
      <c r="P795" s="1432"/>
      <c r="Q795" s="1432"/>
      <c r="R795" s="1432"/>
      <c r="S795" s="1432"/>
      <c r="T795" s="1520"/>
      <c r="U795" s="1521"/>
      <c r="V795" s="1521"/>
      <c r="W795" s="1522"/>
      <c r="X795" s="1406"/>
      <c r="Y795" s="1407"/>
      <c r="Z795" s="1407"/>
      <c r="AA795" s="1407"/>
      <c r="AB795" s="1408"/>
      <c r="AC795" s="1329">
        <f t="shared" ref="AC795:AC804" si="42">X795*O795</f>
        <v>0</v>
      </c>
      <c r="AD795" s="1330"/>
      <c r="AE795" s="1330"/>
      <c r="AF795" s="1330"/>
      <c r="AG795" s="133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7">
        <f t="shared" ref="CP795:CP804" si="43">IF(J795="SRO/Studio",O795,0)</f>
        <v>0</v>
      </c>
      <c r="CQ795" s="1268"/>
      <c r="CR795" s="1268"/>
      <c r="CS795" s="1268"/>
      <c r="CT795" s="1269"/>
      <c r="CU795" s="1267">
        <f t="shared" ref="CU795:CU804" si="44">IF(J795="1 Bedroom",O795,0)</f>
        <v>0</v>
      </c>
      <c r="CV795" s="1268"/>
      <c r="CW795" s="1268"/>
      <c r="CX795" s="1268"/>
      <c r="CY795" s="1269"/>
      <c r="CZ795" s="1267">
        <f t="shared" ref="CZ795:CZ804" si="45">IF(J795="2 Bedrooms",O795,0)</f>
        <v>0</v>
      </c>
      <c r="DA795" s="1268"/>
      <c r="DB795" s="1268"/>
      <c r="DC795" s="1268"/>
      <c r="DD795" s="1269"/>
      <c r="DE795" s="1267">
        <f t="shared" ref="DE795:DE804" si="46">IF(J795="3 Bedrooms",O795,0)</f>
        <v>0</v>
      </c>
      <c r="DF795" s="1268"/>
      <c r="DG795" s="1268"/>
      <c r="DH795" s="1268"/>
      <c r="DI795" s="1269"/>
      <c r="DJ795" s="1267">
        <f t="shared" ref="DJ795:DJ804" si="47">IF(J795="4 Bedrooms",O795,0)</f>
        <v>0</v>
      </c>
      <c r="DK795" s="1268"/>
      <c r="DL795" s="1268"/>
      <c r="DM795" s="1268"/>
      <c r="DN795" s="1269"/>
      <c r="DO795" s="1267">
        <f t="shared" ref="DO795:DO804" si="48">IF(J795="5 Bedrooms",O795,0)</f>
        <v>0</v>
      </c>
      <c r="DP795" s="1268"/>
      <c r="DQ795" s="1268"/>
      <c r="DR795" s="1268"/>
      <c r="DS795" s="1269"/>
      <c r="DT795" s="6"/>
      <c r="DU795" s="1267">
        <f t="shared" ref="DU795:DU804" si="49">IF(AND(CP795&gt;=1,AH795&gt;=0.1,AH795&lt;=1),O795,0)</f>
        <v>0</v>
      </c>
      <c r="DV795" s="1268"/>
      <c r="DW795" s="1268"/>
      <c r="DX795" s="1268"/>
      <c r="DY795" s="1269"/>
      <c r="DZ795" s="1267">
        <f t="shared" ref="DZ795:DZ804" si="50">IF(AND(CU795&gt;=1,AH795&gt;=0.1,AH795&lt;=1),O795,0)</f>
        <v>0</v>
      </c>
      <c r="EA795" s="1268"/>
      <c r="EB795" s="1268"/>
      <c r="EC795" s="1268"/>
      <c r="ED795" s="1269"/>
      <c r="EE795" s="1267">
        <f t="shared" ref="EE795:EE804" si="51">IF(AND(CZ795&gt;=1,AH795&gt;=0.1,AH795&lt;=1),O795,0)</f>
        <v>0</v>
      </c>
      <c r="EF795" s="1268"/>
      <c r="EG795" s="1268"/>
      <c r="EH795" s="1268"/>
      <c r="EI795" s="1269"/>
      <c r="EJ795" s="1267">
        <f t="shared" ref="EJ795:EJ804" si="52">IF(AND(DE795&gt;=1,AH795&gt;=0.1,AH795&lt;=1),O795,0)</f>
        <v>0</v>
      </c>
      <c r="EK795" s="1268"/>
      <c r="EL795" s="1268"/>
      <c r="EM795" s="1268"/>
      <c r="EN795" s="1269"/>
      <c r="EO795" s="1267">
        <f t="shared" ref="EO795:EO804" si="53">IF(AND(DJ795&gt;=1,AH795&gt;=0.1,AH795&lt;=1),O795,0)</f>
        <v>0</v>
      </c>
      <c r="EP795" s="1268"/>
      <c r="EQ795" s="1268"/>
      <c r="ER795" s="1268"/>
      <c r="ES795" s="1269"/>
      <c r="ET795" s="1267">
        <f t="shared" ref="ET795:ET804" si="54">IF(AND(DO795&gt;=1,AH795&gt;=0.1,AH795&lt;=1),O795,0)</f>
        <v>0</v>
      </c>
      <c r="EU795" s="1268"/>
      <c r="EV795" s="1268"/>
      <c r="EW795" s="1268"/>
      <c r="EX795" s="1269"/>
    </row>
    <row r="796" spans="1:154" s="14" customFormat="1" ht="12.95" customHeight="1">
      <c r="A796"/>
      <c r="B796"/>
      <c r="C796"/>
      <c r="D796"/>
      <c r="E796"/>
      <c r="F796"/>
      <c r="G796"/>
      <c r="H796"/>
      <c r="I796"/>
      <c r="J796" s="1290"/>
      <c r="K796" s="1291"/>
      <c r="L796" s="1291"/>
      <c r="M796" s="1291"/>
      <c r="N796" s="1292"/>
      <c r="O796" s="1432"/>
      <c r="P796" s="1432"/>
      <c r="Q796" s="1432"/>
      <c r="R796" s="1432"/>
      <c r="S796" s="1432"/>
      <c r="T796" s="1520"/>
      <c r="U796" s="1521"/>
      <c r="V796" s="1521"/>
      <c r="W796" s="1522"/>
      <c r="X796" s="1406"/>
      <c r="Y796" s="1407"/>
      <c r="Z796" s="1407"/>
      <c r="AA796" s="1407"/>
      <c r="AB796" s="1408"/>
      <c r="AC796" s="1329">
        <f t="shared" si="42"/>
        <v>0</v>
      </c>
      <c r="AD796" s="1330"/>
      <c r="AE796" s="1330"/>
      <c r="AF796" s="1330"/>
      <c r="AG796" s="133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7">
        <f t="shared" si="43"/>
        <v>0</v>
      </c>
      <c r="CQ796" s="1268"/>
      <c r="CR796" s="1268"/>
      <c r="CS796" s="1268"/>
      <c r="CT796" s="1269"/>
      <c r="CU796" s="1267">
        <f t="shared" si="44"/>
        <v>0</v>
      </c>
      <c r="CV796" s="1268"/>
      <c r="CW796" s="1268"/>
      <c r="CX796" s="1268"/>
      <c r="CY796" s="1269"/>
      <c r="CZ796" s="1267">
        <f t="shared" si="45"/>
        <v>0</v>
      </c>
      <c r="DA796" s="1268"/>
      <c r="DB796" s="1268"/>
      <c r="DC796" s="1268"/>
      <c r="DD796" s="1269"/>
      <c r="DE796" s="1267">
        <f t="shared" si="46"/>
        <v>0</v>
      </c>
      <c r="DF796" s="1268"/>
      <c r="DG796" s="1268"/>
      <c r="DH796" s="1268"/>
      <c r="DI796" s="1269"/>
      <c r="DJ796" s="1267">
        <f t="shared" si="47"/>
        <v>0</v>
      </c>
      <c r="DK796" s="1268"/>
      <c r="DL796" s="1268"/>
      <c r="DM796" s="1268"/>
      <c r="DN796" s="1269"/>
      <c r="DO796" s="1267">
        <f t="shared" si="48"/>
        <v>0</v>
      </c>
      <c r="DP796" s="1268"/>
      <c r="DQ796" s="1268"/>
      <c r="DR796" s="1268"/>
      <c r="DS796" s="1269"/>
      <c r="DT796" s="6"/>
      <c r="DU796" s="1267">
        <f t="shared" si="49"/>
        <v>0</v>
      </c>
      <c r="DV796" s="1268"/>
      <c r="DW796" s="1268"/>
      <c r="DX796" s="1268"/>
      <c r="DY796" s="1269"/>
      <c r="DZ796" s="1267">
        <f t="shared" si="50"/>
        <v>0</v>
      </c>
      <c r="EA796" s="1268"/>
      <c r="EB796" s="1268"/>
      <c r="EC796" s="1268"/>
      <c r="ED796" s="1269"/>
      <c r="EE796" s="1267">
        <f t="shared" si="51"/>
        <v>0</v>
      </c>
      <c r="EF796" s="1268"/>
      <c r="EG796" s="1268"/>
      <c r="EH796" s="1268"/>
      <c r="EI796" s="1269"/>
      <c r="EJ796" s="1267">
        <f t="shared" si="52"/>
        <v>0</v>
      </c>
      <c r="EK796" s="1268"/>
      <c r="EL796" s="1268"/>
      <c r="EM796" s="1268"/>
      <c r="EN796" s="1269"/>
      <c r="EO796" s="1267">
        <f t="shared" si="53"/>
        <v>0</v>
      </c>
      <c r="EP796" s="1268"/>
      <c r="EQ796" s="1268"/>
      <c r="ER796" s="1268"/>
      <c r="ES796" s="1269"/>
      <c r="ET796" s="1267">
        <f t="shared" si="54"/>
        <v>0</v>
      </c>
      <c r="EU796" s="1268"/>
      <c r="EV796" s="1268"/>
      <c r="EW796" s="1268"/>
      <c r="EX796" s="1269"/>
    </row>
    <row r="797" spans="1:154" s="14" customFormat="1" ht="12.95" customHeight="1">
      <c r="A797"/>
      <c r="B797"/>
      <c r="C797"/>
      <c r="D797"/>
      <c r="E797"/>
      <c r="F797"/>
      <c r="G797"/>
      <c r="H797"/>
      <c r="I797"/>
      <c r="J797" s="1290"/>
      <c r="K797" s="1291"/>
      <c r="L797" s="1291"/>
      <c r="M797" s="1291"/>
      <c r="N797" s="1292"/>
      <c r="O797" s="1432"/>
      <c r="P797" s="1432"/>
      <c r="Q797" s="1432"/>
      <c r="R797" s="1432"/>
      <c r="S797" s="1432"/>
      <c r="T797" s="1520"/>
      <c r="U797" s="1521"/>
      <c r="V797" s="1521"/>
      <c r="W797" s="1522"/>
      <c r="X797" s="1406"/>
      <c r="Y797" s="1407"/>
      <c r="Z797" s="1407"/>
      <c r="AA797" s="1407"/>
      <c r="AB797" s="1408"/>
      <c r="AC797" s="1329">
        <f t="shared" si="42"/>
        <v>0</v>
      </c>
      <c r="AD797" s="1330"/>
      <c r="AE797" s="1330"/>
      <c r="AF797" s="1330"/>
      <c r="AG797" s="133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7">
        <f t="shared" si="43"/>
        <v>0</v>
      </c>
      <c r="CQ797" s="1268"/>
      <c r="CR797" s="1268"/>
      <c r="CS797" s="1268"/>
      <c r="CT797" s="1269"/>
      <c r="CU797" s="1267">
        <f t="shared" si="44"/>
        <v>0</v>
      </c>
      <c r="CV797" s="1268"/>
      <c r="CW797" s="1268"/>
      <c r="CX797" s="1268"/>
      <c r="CY797" s="1269"/>
      <c r="CZ797" s="1267">
        <f t="shared" si="45"/>
        <v>0</v>
      </c>
      <c r="DA797" s="1268"/>
      <c r="DB797" s="1268"/>
      <c r="DC797" s="1268"/>
      <c r="DD797" s="1269"/>
      <c r="DE797" s="1267">
        <f t="shared" si="46"/>
        <v>0</v>
      </c>
      <c r="DF797" s="1268"/>
      <c r="DG797" s="1268"/>
      <c r="DH797" s="1268"/>
      <c r="DI797" s="1269"/>
      <c r="DJ797" s="1267">
        <f t="shared" si="47"/>
        <v>0</v>
      </c>
      <c r="DK797" s="1268"/>
      <c r="DL797" s="1268"/>
      <c r="DM797" s="1268"/>
      <c r="DN797" s="1269"/>
      <c r="DO797" s="1267">
        <f t="shared" si="48"/>
        <v>0</v>
      </c>
      <c r="DP797" s="1268"/>
      <c r="DQ797" s="1268"/>
      <c r="DR797" s="1268"/>
      <c r="DS797" s="1269"/>
      <c r="DT797" s="6"/>
      <c r="DU797" s="1267">
        <f t="shared" si="49"/>
        <v>0</v>
      </c>
      <c r="DV797" s="1268"/>
      <c r="DW797" s="1268"/>
      <c r="DX797" s="1268"/>
      <c r="DY797" s="1269"/>
      <c r="DZ797" s="1267">
        <f t="shared" si="50"/>
        <v>0</v>
      </c>
      <c r="EA797" s="1268"/>
      <c r="EB797" s="1268"/>
      <c r="EC797" s="1268"/>
      <c r="ED797" s="1269"/>
      <c r="EE797" s="1267">
        <f t="shared" si="51"/>
        <v>0</v>
      </c>
      <c r="EF797" s="1268"/>
      <c r="EG797" s="1268"/>
      <c r="EH797" s="1268"/>
      <c r="EI797" s="1269"/>
      <c r="EJ797" s="1267">
        <f t="shared" si="52"/>
        <v>0</v>
      </c>
      <c r="EK797" s="1268"/>
      <c r="EL797" s="1268"/>
      <c r="EM797" s="1268"/>
      <c r="EN797" s="1269"/>
      <c r="EO797" s="1267">
        <f t="shared" si="53"/>
        <v>0</v>
      </c>
      <c r="EP797" s="1268"/>
      <c r="EQ797" s="1268"/>
      <c r="ER797" s="1268"/>
      <c r="ES797" s="1269"/>
      <c r="ET797" s="1267">
        <f t="shared" si="54"/>
        <v>0</v>
      </c>
      <c r="EU797" s="1268"/>
      <c r="EV797" s="1268"/>
      <c r="EW797" s="1268"/>
      <c r="EX797" s="1269"/>
    </row>
    <row r="798" spans="1:154" s="14" customFormat="1" ht="12.95" customHeight="1">
      <c r="A798"/>
      <c r="B798"/>
      <c r="C798"/>
      <c r="D798"/>
      <c r="E798"/>
      <c r="F798"/>
      <c r="G798"/>
      <c r="H798"/>
      <c r="I798"/>
      <c r="J798" s="1290"/>
      <c r="K798" s="1291"/>
      <c r="L798" s="1291"/>
      <c r="M798" s="1291"/>
      <c r="N798" s="1292"/>
      <c r="O798" s="1432"/>
      <c r="P798" s="1432"/>
      <c r="Q798" s="1432"/>
      <c r="R798" s="1432"/>
      <c r="S798" s="1432"/>
      <c r="T798" s="1520"/>
      <c r="U798" s="1521"/>
      <c r="V798" s="1521"/>
      <c r="W798" s="1522"/>
      <c r="X798" s="1406"/>
      <c r="Y798" s="1407"/>
      <c r="Z798" s="1407"/>
      <c r="AA798" s="1407"/>
      <c r="AB798" s="1408"/>
      <c r="AC798" s="1329">
        <f t="shared" si="42"/>
        <v>0</v>
      </c>
      <c r="AD798" s="1330"/>
      <c r="AE798" s="1330"/>
      <c r="AF798" s="1330"/>
      <c r="AG798" s="133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7">
        <f t="shared" si="43"/>
        <v>0</v>
      </c>
      <c r="CQ798" s="1268"/>
      <c r="CR798" s="1268"/>
      <c r="CS798" s="1268"/>
      <c r="CT798" s="1269"/>
      <c r="CU798" s="1267">
        <f t="shared" si="44"/>
        <v>0</v>
      </c>
      <c r="CV798" s="1268"/>
      <c r="CW798" s="1268"/>
      <c r="CX798" s="1268"/>
      <c r="CY798" s="1269"/>
      <c r="CZ798" s="1267">
        <f t="shared" si="45"/>
        <v>0</v>
      </c>
      <c r="DA798" s="1268"/>
      <c r="DB798" s="1268"/>
      <c r="DC798" s="1268"/>
      <c r="DD798" s="1269"/>
      <c r="DE798" s="1267">
        <f t="shared" si="46"/>
        <v>0</v>
      </c>
      <c r="DF798" s="1268"/>
      <c r="DG798" s="1268"/>
      <c r="DH798" s="1268"/>
      <c r="DI798" s="1269"/>
      <c r="DJ798" s="1267">
        <f t="shared" si="47"/>
        <v>0</v>
      </c>
      <c r="DK798" s="1268"/>
      <c r="DL798" s="1268"/>
      <c r="DM798" s="1268"/>
      <c r="DN798" s="1269"/>
      <c r="DO798" s="1267">
        <f t="shared" si="48"/>
        <v>0</v>
      </c>
      <c r="DP798" s="1268"/>
      <c r="DQ798" s="1268"/>
      <c r="DR798" s="1268"/>
      <c r="DS798" s="1269"/>
      <c r="DT798" s="6"/>
      <c r="DU798" s="1267">
        <f t="shared" si="49"/>
        <v>0</v>
      </c>
      <c r="DV798" s="1268"/>
      <c r="DW798" s="1268"/>
      <c r="DX798" s="1268"/>
      <c r="DY798" s="1269"/>
      <c r="DZ798" s="1267">
        <f t="shared" si="50"/>
        <v>0</v>
      </c>
      <c r="EA798" s="1268"/>
      <c r="EB798" s="1268"/>
      <c r="EC798" s="1268"/>
      <c r="ED798" s="1269"/>
      <c r="EE798" s="1267">
        <f t="shared" si="51"/>
        <v>0</v>
      </c>
      <c r="EF798" s="1268"/>
      <c r="EG798" s="1268"/>
      <c r="EH798" s="1268"/>
      <c r="EI798" s="1269"/>
      <c r="EJ798" s="1267">
        <f t="shared" si="52"/>
        <v>0</v>
      </c>
      <c r="EK798" s="1268"/>
      <c r="EL798" s="1268"/>
      <c r="EM798" s="1268"/>
      <c r="EN798" s="1269"/>
      <c r="EO798" s="1267">
        <f t="shared" si="53"/>
        <v>0</v>
      </c>
      <c r="EP798" s="1268"/>
      <c r="EQ798" s="1268"/>
      <c r="ER798" s="1268"/>
      <c r="ES798" s="1269"/>
      <c r="ET798" s="1267">
        <f t="shared" si="54"/>
        <v>0</v>
      </c>
      <c r="EU798" s="1268"/>
      <c r="EV798" s="1268"/>
      <c r="EW798" s="1268"/>
      <c r="EX798" s="1269"/>
    </row>
    <row r="799" spans="1:154" s="14" customFormat="1" ht="12.95" customHeight="1">
      <c r="A799"/>
      <c r="B799"/>
      <c r="C799"/>
      <c r="D799"/>
      <c r="E799"/>
      <c r="F799"/>
      <c r="G799"/>
      <c r="H799"/>
      <c r="I799"/>
      <c r="J799" s="1290"/>
      <c r="K799" s="1291"/>
      <c r="L799" s="1291"/>
      <c r="M799" s="1291"/>
      <c r="N799" s="1292"/>
      <c r="O799" s="1432"/>
      <c r="P799" s="1432"/>
      <c r="Q799" s="1432"/>
      <c r="R799" s="1432"/>
      <c r="S799" s="1432"/>
      <c r="T799" s="1520"/>
      <c r="U799" s="1521"/>
      <c r="V799" s="1521"/>
      <c r="W799" s="1522"/>
      <c r="X799" s="1406"/>
      <c r="Y799" s="1407"/>
      <c r="Z799" s="1407"/>
      <c r="AA799" s="1407"/>
      <c r="AB799" s="1408"/>
      <c r="AC799" s="1329">
        <f t="shared" si="42"/>
        <v>0</v>
      </c>
      <c r="AD799" s="1330"/>
      <c r="AE799" s="1330"/>
      <c r="AF799" s="1330"/>
      <c r="AG799" s="133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7">
        <f t="shared" si="43"/>
        <v>0</v>
      </c>
      <c r="CQ799" s="1268"/>
      <c r="CR799" s="1268"/>
      <c r="CS799" s="1268"/>
      <c r="CT799" s="1269"/>
      <c r="CU799" s="1267">
        <f t="shared" si="44"/>
        <v>0</v>
      </c>
      <c r="CV799" s="1268"/>
      <c r="CW799" s="1268"/>
      <c r="CX799" s="1268"/>
      <c r="CY799" s="1269"/>
      <c r="CZ799" s="1267">
        <f t="shared" si="45"/>
        <v>0</v>
      </c>
      <c r="DA799" s="1268"/>
      <c r="DB799" s="1268"/>
      <c r="DC799" s="1268"/>
      <c r="DD799" s="1269"/>
      <c r="DE799" s="1267">
        <f t="shared" si="46"/>
        <v>0</v>
      </c>
      <c r="DF799" s="1268"/>
      <c r="DG799" s="1268"/>
      <c r="DH799" s="1268"/>
      <c r="DI799" s="1269"/>
      <c r="DJ799" s="1267">
        <f t="shared" si="47"/>
        <v>0</v>
      </c>
      <c r="DK799" s="1268"/>
      <c r="DL799" s="1268"/>
      <c r="DM799" s="1268"/>
      <c r="DN799" s="1269"/>
      <c r="DO799" s="1267">
        <f t="shared" si="48"/>
        <v>0</v>
      </c>
      <c r="DP799" s="1268"/>
      <c r="DQ799" s="1268"/>
      <c r="DR799" s="1268"/>
      <c r="DS799" s="1269"/>
      <c r="DT799" s="6"/>
      <c r="DU799" s="1267">
        <f t="shared" si="49"/>
        <v>0</v>
      </c>
      <c r="DV799" s="1268"/>
      <c r="DW799" s="1268"/>
      <c r="DX799" s="1268"/>
      <c r="DY799" s="1269"/>
      <c r="DZ799" s="1267">
        <f t="shared" si="50"/>
        <v>0</v>
      </c>
      <c r="EA799" s="1268"/>
      <c r="EB799" s="1268"/>
      <c r="EC799" s="1268"/>
      <c r="ED799" s="1269"/>
      <c r="EE799" s="1267">
        <f t="shared" si="51"/>
        <v>0</v>
      </c>
      <c r="EF799" s="1268"/>
      <c r="EG799" s="1268"/>
      <c r="EH799" s="1268"/>
      <c r="EI799" s="1269"/>
      <c r="EJ799" s="1267">
        <f t="shared" si="52"/>
        <v>0</v>
      </c>
      <c r="EK799" s="1268"/>
      <c r="EL799" s="1268"/>
      <c r="EM799" s="1268"/>
      <c r="EN799" s="1269"/>
      <c r="EO799" s="1267">
        <f t="shared" si="53"/>
        <v>0</v>
      </c>
      <c r="EP799" s="1268"/>
      <c r="EQ799" s="1268"/>
      <c r="ER799" s="1268"/>
      <c r="ES799" s="1269"/>
      <c r="ET799" s="1267">
        <f t="shared" si="54"/>
        <v>0</v>
      </c>
      <c r="EU799" s="1268"/>
      <c r="EV799" s="1268"/>
      <c r="EW799" s="1268"/>
      <c r="EX799" s="1269"/>
    </row>
    <row r="800" spans="1:154" s="14" customFormat="1" ht="12.95" customHeight="1">
      <c r="A800"/>
      <c r="B800"/>
      <c r="C800"/>
      <c r="D800"/>
      <c r="E800"/>
      <c r="F800"/>
      <c r="G800"/>
      <c r="H800"/>
      <c r="I800"/>
      <c r="J800" s="1290"/>
      <c r="K800" s="1291"/>
      <c r="L800" s="1291"/>
      <c r="M800" s="1291"/>
      <c r="N800" s="1292"/>
      <c r="O800" s="1432"/>
      <c r="P800" s="1432"/>
      <c r="Q800" s="1432"/>
      <c r="R800" s="1432"/>
      <c r="S800" s="1432"/>
      <c r="T800" s="1520"/>
      <c r="U800" s="1521"/>
      <c r="V800" s="1521"/>
      <c r="W800" s="1522"/>
      <c r="X800" s="1406"/>
      <c r="Y800" s="1407"/>
      <c r="Z800" s="1407"/>
      <c r="AA800" s="1407"/>
      <c r="AB800" s="1408"/>
      <c r="AC800" s="1329">
        <f t="shared" si="42"/>
        <v>0</v>
      </c>
      <c r="AD800" s="1330"/>
      <c r="AE800" s="1330"/>
      <c r="AF800" s="1330"/>
      <c r="AG800" s="133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7">
        <f t="shared" si="43"/>
        <v>0</v>
      </c>
      <c r="CQ800" s="1268"/>
      <c r="CR800" s="1268"/>
      <c r="CS800" s="1268"/>
      <c r="CT800" s="1269"/>
      <c r="CU800" s="1267">
        <f t="shared" si="44"/>
        <v>0</v>
      </c>
      <c r="CV800" s="1268"/>
      <c r="CW800" s="1268"/>
      <c r="CX800" s="1268"/>
      <c r="CY800" s="1269"/>
      <c r="CZ800" s="1267">
        <f t="shared" si="45"/>
        <v>0</v>
      </c>
      <c r="DA800" s="1268"/>
      <c r="DB800" s="1268"/>
      <c r="DC800" s="1268"/>
      <c r="DD800" s="1269"/>
      <c r="DE800" s="1267">
        <f t="shared" si="46"/>
        <v>0</v>
      </c>
      <c r="DF800" s="1268"/>
      <c r="DG800" s="1268"/>
      <c r="DH800" s="1268"/>
      <c r="DI800" s="1269"/>
      <c r="DJ800" s="1267">
        <f t="shared" si="47"/>
        <v>0</v>
      </c>
      <c r="DK800" s="1268"/>
      <c r="DL800" s="1268"/>
      <c r="DM800" s="1268"/>
      <c r="DN800" s="1269"/>
      <c r="DO800" s="1267">
        <f t="shared" si="48"/>
        <v>0</v>
      </c>
      <c r="DP800" s="1268"/>
      <c r="DQ800" s="1268"/>
      <c r="DR800" s="1268"/>
      <c r="DS800" s="1269"/>
      <c r="DT800" s="6"/>
      <c r="DU800" s="1267">
        <f t="shared" si="49"/>
        <v>0</v>
      </c>
      <c r="DV800" s="1268"/>
      <c r="DW800" s="1268"/>
      <c r="DX800" s="1268"/>
      <c r="DY800" s="1269"/>
      <c r="DZ800" s="1267">
        <f t="shared" si="50"/>
        <v>0</v>
      </c>
      <c r="EA800" s="1268"/>
      <c r="EB800" s="1268"/>
      <c r="EC800" s="1268"/>
      <c r="ED800" s="1269"/>
      <c r="EE800" s="1267">
        <f t="shared" si="51"/>
        <v>0</v>
      </c>
      <c r="EF800" s="1268"/>
      <c r="EG800" s="1268"/>
      <c r="EH800" s="1268"/>
      <c r="EI800" s="1269"/>
      <c r="EJ800" s="1267">
        <f t="shared" si="52"/>
        <v>0</v>
      </c>
      <c r="EK800" s="1268"/>
      <c r="EL800" s="1268"/>
      <c r="EM800" s="1268"/>
      <c r="EN800" s="1269"/>
      <c r="EO800" s="1267">
        <f t="shared" si="53"/>
        <v>0</v>
      </c>
      <c r="EP800" s="1268"/>
      <c r="EQ800" s="1268"/>
      <c r="ER800" s="1268"/>
      <c r="ES800" s="1269"/>
      <c r="ET800" s="1267">
        <f t="shared" si="54"/>
        <v>0</v>
      </c>
      <c r="EU800" s="1268"/>
      <c r="EV800" s="1268"/>
      <c r="EW800" s="1268"/>
      <c r="EX800" s="1269"/>
    </row>
    <row r="801" spans="1:154" s="14" customFormat="1" ht="12.95" customHeight="1">
      <c r="A801"/>
      <c r="B801"/>
      <c r="C801"/>
      <c r="D801"/>
      <c r="E801"/>
      <c r="F801"/>
      <c r="G801"/>
      <c r="H801"/>
      <c r="I801"/>
      <c r="J801" s="1290"/>
      <c r="K801" s="1291"/>
      <c r="L801" s="1291"/>
      <c r="M801" s="1291"/>
      <c r="N801" s="1292"/>
      <c r="O801" s="1432"/>
      <c r="P801" s="1432"/>
      <c r="Q801" s="1432"/>
      <c r="R801" s="1432"/>
      <c r="S801" s="1432"/>
      <c r="T801" s="1520"/>
      <c r="U801" s="1521"/>
      <c r="V801" s="1521"/>
      <c r="W801" s="1522"/>
      <c r="X801" s="1406"/>
      <c r="Y801" s="1407"/>
      <c r="Z801" s="1407"/>
      <c r="AA801" s="1407"/>
      <c r="AB801" s="1408"/>
      <c r="AC801" s="1329">
        <f t="shared" si="42"/>
        <v>0</v>
      </c>
      <c r="AD801" s="1330"/>
      <c r="AE801" s="1330"/>
      <c r="AF801" s="1330"/>
      <c r="AG801" s="133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7">
        <f t="shared" si="43"/>
        <v>0</v>
      </c>
      <c r="CQ801" s="1268"/>
      <c r="CR801" s="1268"/>
      <c r="CS801" s="1268"/>
      <c r="CT801" s="1269"/>
      <c r="CU801" s="1267">
        <f t="shared" si="44"/>
        <v>0</v>
      </c>
      <c r="CV801" s="1268"/>
      <c r="CW801" s="1268"/>
      <c r="CX801" s="1268"/>
      <c r="CY801" s="1269"/>
      <c r="CZ801" s="1267">
        <f t="shared" si="45"/>
        <v>0</v>
      </c>
      <c r="DA801" s="1268"/>
      <c r="DB801" s="1268"/>
      <c r="DC801" s="1268"/>
      <c r="DD801" s="1269"/>
      <c r="DE801" s="1267">
        <f t="shared" si="46"/>
        <v>0</v>
      </c>
      <c r="DF801" s="1268"/>
      <c r="DG801" s="1268"/>
      <c r="DH801" s="1268"/>
      <c r="DI801" s="1269"/>
      <c r="DJ801" s="1267">
        <f t="shared" si="47"/>
        <v>0</v>
      </c>
      <c r="DK801" s="1268"/>
      <c r="DL801" s="1268"/>
      <c r="DM801" s="1268"/>
      <c r="DN801" s="1269"/>
      <c r="DO801" s="1267">
        <f t="shared" si="48"/>
        <v>0</v>
      </c>
      <c r="DP801" s="1268"/>
      <c r="DQ801" s="1268"/>
      <c r="DR801" s="1268"/>
      <c r="DS801" s="1269"/>
      <c r="DT801" s="6"/>
      <c r="DU801" s="1267">
        <f t="shared" si="49"/>
        <v>0</v>
      </c>
      <c r="DV801" s="1268"/>
      <c r="DW801" s="1268"/>
      <c r="DX801" s="1268"/>
      <c r="DY801" s="1269"/>
      <c r="DZ801" s="1267">
        <f t="shared" si="50"/>
        <v>0</v>
      </c>
      <c r="EA801" s="1268"/>
      <c r="EB801" s="1268"/>
      <c r="EC801" s="1268"/>
      <c r="ED801" s="1269"/>
      <c r="EE801" s="1267">
        <f t="shared" si="51"/>
        <v>0</v>
      </c>
      <c r="EF801" s="1268"/>
      <c r="EG801" s="1268"/>
      <c r="EH801" s="1268"/>
      <c r="EI801" s="1269"/>
      <c r="EJ801" s="1267">
        <f t="shared" si="52"/>
        <v>0</v>
      </c>
      <c r="EK801" s="1268"/>
      <c r="EL801" s="1268"/>
      <c r="EM801" s="1268"/>
      <c r="EN801" s="1269"/>
      <c r="EO801" s="1267">
        <f t="shared" si="53"/>
        <v>0</v>
      </c>
      <c r="EP801" s="1268"/>
      <c r="EQ801" s="1268"/>
      <c r="ER801" s="1268"/>
      <c r="ES801" s="1269"/>
      <c r="ET801" s="1267">
        <f t="shared" si="54"/>
        <v>0</v>
      </c>
      <c r="EU801" s="1268"/>
      <c r="EV801" s="1268"/>
      <c r="EW801" s="1268"/>
      <c r="EX801" s="1269"/>
    </row>
    <row r="802" spans="1:154" s="14" customFormat="1" ht="12.95" customHeight="1">
      <c r="A802"/>
      <c r="B802"/>
      <c r="C802"/>
      <c r="D802"/>
      <c r="E802"/>
      <c r="F802"/>
      <c r="G802"/>
      <c r="H802"/>
      <c r="I802"/>
      <c r="J802" s="1290"/>
      <c r="K802" s="1291"/>
      <c r="L802" s="1291"/>
      <c r="M802" s="1291"/>
      <c r="N802" s="1292"/>
      <c r="O802" s="1432"/>
      <c r="P802" s="1432"/>
      <c r="Q802" s="1432"/>
      <c r="R802" s="1432"/>
      <c r="S802" s="1432"/>
      <c r="T802" s="1520"/>
      <c r="U802" s="1521"/>
      <c r="V802" s="1521"/>
      <c r="W802" s="1522"/>
      <c r="X802" s="1406"/>
      <c r="Y802" s="1407"/>
      <c r="Z802" s="1407"/>
      <c r="AA802" s="1407"/>
      <c r="AB802" s="1408"/>
      <c r="AC802" s="1329">
        <f t="shared" si="42"/>
        <v>0</v>
      </c>
      <c r="AD802" s="1330"/>
      <c r="AE802" s="1330"/>
      <c r="AF802" s="1330"/>
      <c r="AG802" s="133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7">
        <f t="shared" si="43"/>
        <v>0</v>
      </c>
      <c r="CQ802" s="1268"/>
      <c r="CR802" s="1268"/>
      <c r="CS802" s="1268"/>
      <c r="CT802" s="1269"/>
      <c r="CU802" s="1267">
        <f t="shared" si="44"/>
        <v>0</v>
      </c>
      <c r="CV802" s="1268"/>
      <c r="CW802" s="1268"/>
      <c r="CX802" s="1268"/>
      <c r="CY802" s="1269"/>
      <c r="CZ802" s="1267">
        <f t="shared" si="45"/>
        <v>0</v>
      </c>
      <c r="DA802" s="1268"/>
      <c r="DB802" s="1268"/>
      <c r="DC802" s="1268"/>
      <c r="DD802" s="1269"/>
      <c r="DE802" s="1267">
        <f t="shared" si="46"/>
        <v>0</v>
      </c>
      <c r="DF802" s="1268"/>
      <c r="DG802" s="1268"/>
      <c r="DH802" s="1268"/>
      <c r="DI802" s="1269"/>
      <c r="DJ802" s="1267">
        <f t="shared" si="47"/>
        <v>0</v>
      </c>
      <c r="DK802" s="1268"/>
      <c r="DL802" s="1268"/>
      <c r="DM802" s="1268"/>
      <c r="DN802" s="1269"/>
      <c r="DO802" s="1267">
        <f t="shared" si="48"/>
        <v>0</v>
      </c>
      <c r="DP802" s="1268"/>
      <c r="DQ802" s="1268"/>
      <c r="DR802" s="1268"/>
      <c r="DS802" s="1269"/>
      <c r="DT802" s="6"/>
      <c r="DU802" s="1267">
        <f t="shared" si="49"/>
        <v>0</v>
      </c>
      <c r="DV802" s="1268"/>
      <c r="DW802" s="1268"/>
      <c r="DX802" s="1268"/>
      <c r="DY802" s="1269"/>
      <c r="DZ802" s="1267">
        <f t="shared" si="50"/>
        <v>0</v>
      </c>
      <c r="EA802" s="1268"/>
      <c r="EB802" s="1268"/>
      <c r="EC802" s="1268"/>
      <c r="ED802" s="1269"/>
      <c r="EE802" s="1267">
        <f t="shared" si="51"/>
        <v>0</v>
      </c>
      <c r="EF802" s="1268"/>
      <c r="EG802" s="1268"/>
      <c r="EH802" s="1268"/>
      <c r="EI802" s="1269"/>
      <c r="EJ802" s="1267">
        <f t="shared" si="52"/>
        <v>0</v>
      </c>
      <c r="EK802" s="1268"/>
      <c r="EL802" s="1268"/>
      <c r="EM802" s="1268"/>
      <c r="EN802" s="1269"/>
      <c r="EO802" s="1267">
        <f t="shared" si="53"/>
        <v>0</v>
      </c>
      <c r="EP802" s="1268"/>
      <c r="EQ802" s="1268"/>
      <c r="ER802" s="1268"/>
      <c r="ES802" s="1269"/>
      <c r="ET802" s="1267">
        <f t="shared" si="54"/>
        <v>0</v>
      </c>
      <c r="EU802" s="1268"/>
      <c r="EV802" s="1268"/>
      <c r="EW802" s="1268"/>
      <c r="EX802" s="1269"/>
    </row>
    <row r="803" spans="1:154" s="14" customFormat="1" ht="12.95" customHeight="1">
      <c r="A803"/>
      <c r="B803"/>
      <c r="C803"/>
      <c r="D803"/>
      <c r="E803"/>
      <c r="F803"/>
      <c r="G803"/>
      <c r="H803"/>
      <c r="I803"/>
      <c r="J803" s="1290"/>
      <c r="K803" s="1291"/>
      <c r="L803" s="1291"/>
      <c r="M803" s="1291"/>
      <c r="N803" s="1292"/>
      <c r="O803" s="1432"/>
      <c r="P803" s="1432"/>
      <c r="Q803" s="1432"/>
      <c r="R803" s="1432"/>
      <c r="S803" s="1432"/>
      <c r="T803" s="1520"/>
      <c r="U803" s="1521"/>
      <c r="V803" s="1521"/>
      <c r="W803" s="1522"/>
      <c r="X803" s="1406"/>
      <c r="Y803" s="1407"/>
      <c r="Z803" s="1407"/>
      <c r="AA803" s="1407"/>
      <c r="AB803" s="1408"/>
      <c r="AC803" s="1329">
        <f t="shared" si="42"/>
        <v>0</v>
      </c>
      <c r="AD803" s="1330"/>
      <c r="AE803" s="1330"/>
      <c r="AF803" s="1330"/>
      <c r="AG803" s="133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7">
        <f t="shared" si="43"/>
        <v>0</v>
      </c>
      <c r="CQ803" s="1268"/>
      <c r="CR803" s="1268"/>
      <c r="CS803" s="1268"/>
      <c r="CT803" s="1269"/>
      <c r="CU803" s="1267">
        <f t="shared" si="44"/>
        <v>0</v>
      </c>
      <c r="CV803" s="1268"/>
      <c r="CW803" s="1268"/>
      <c r="CX803" s="1268"/>
      <c r="CY803" s="1269"/>
      <c r="CZ803" s="1267">
        <f t="shared" si="45"/>
        <v>0</v>
      </c>
      <c r="DA803" s="1268"/>
      <c r="DB803" s="1268"/>
      <c r="DC803" s="1268"/>
      <c r="DD803" s="1269"/>
      <c r="DE803" s="1267">
        <f t="shared" si="46"/>
        <v>0</v>
      </c>
      <c r="DF803" s="1268"/>
      <c r="DG803" s="1268"/>
      <c r="DH803" s="1268"/>
      <c r="DI803" s="1269"/>
      <c r="DJ803" s="1267">
        <f t="shared" si="47"/>
        <v>0</v>
      </c>
      <c r="DK803" s="1268"/>
      <c r="DL803" s="1268"/>
      <c r="DM803" s="1268"/>
      <c r="DN803" s="1269"/>
      <c r="DO803" s="1267">
        <f t="shared" si="48"/>
        <v>0</v>
      </c>
      <c r="DP803" s="1268"/>
      <c r="DQ803" s="1268"/>
      <c r="DR803" s="1268"/>
      <c r="DS803" s="1269"/>
      <c r="DT803" s="6"/>
      <c r="DU803" s="1267">
        <f t="shared" si="49"/>
        <v>0</v>
      </c>
      <c r="DV803" s="1268"/>
      <c r="DW803" s="1268"/>
      <c r="DX803" s="1268"/>
      <c r="DY803" s="1269"/>
      <c r="DZ803" s="1267">
        <f t="shared" si="50"/>
        <v>0</v>
      </c>
      <c r="EA803" s="1268"/>
      <c r="EB803" s="1268"/>
      <c r="EC803" s="1268"/>
      <c r="ED803" s="1269"/>
      <c r="EE803" s="1267">
        <f t="shared" si="51"/>
        <v>0</v>
      </c>
      <c r="EF803" s="1268"/>
      <c r="EG803" s="1268"/>
      <c r="EH803" s="1268"/>
      <c r="EI803" s="1269"/>
      <c r="EJ803" s="1267">
        <f t="shared" si="52"/>
        <v>0</v>
      </c>
      <c r="EK803" s="1268"/>
      <c r="EL803" s="1268"/>
      <c r="EM803" s="1268"/>
      <c r="EN803" s="1269"/>
      <c r="EO803" s="1267">
        <f t="shared" si="53"/>
        <v>0</v>
      </c>
      <c r="EP803" s="1268"/>
      <c r="EQ803" s="1268"/>
      <c r="ER803" s="1268"/>
      <c r="ES803" s="1269"/>
      <c r="ET803" s="1267">
        <f t="shared" si="54"/>
        <v>0</v>
      </c>
      <c r="EU803" s="1268"/>
      <c r="EV803" s="1268"/>
      <c r="EW803" s="1268"/>
      <c r="EX803" s="1269"/>
    </row>
    <row r="804" spans="1:154" s="4" customFormat="1" ht="12.95" customHeight="1">
      <c r="A804"/>
      <c r="B804"/>
      <c r="C804"/>
      <c r="D804"/>
      <c r="E804"/>
      <c r="F804"/>
      <c r="G804"/>
      <c r="H804"/>
      <c r="I804"/>
      <c r="J804" s="1290"/>
      <c r="K804" s="1291"/>
      <c r="L804" s="1291"/>
      <c r="M804" s="1291"/>
      <c r="N804" s="1292"/>
      <c r="O804" s="1432"/>
      <c r="P804" s="1432"/>
      <c r="Q804" s="1432"/>
      <c r="R804" s="1432"/>
      <c r="S804" s="1432"/>
      <c r="T804" s="1520"/>
      <c r="U804" s="1521"/>
      <c r="V804" s="1521"/>
      <c r="W804" s="1522"/>
      <c r="X804" s="1406"/>
      <c r="Y804" s="1407"/>
      <c r="Z804" s="1407"/>
      <c r="AA804" s="1407"/>
      <c r="AB804" s="1408"/>
      <c r="AC804" s="1329">
        <f t="shared" si="42"/>
        <v>0</v>
      </c>
      <c r="AD804" s="1330"/>
      <c r="AE804" s="1330"/>
      <c r="AF804" s="1330"/>
      <c r="AG804" s="1331"/>
      <c r="AH804"/>
      <c r="AI804"/>
      <c r="AJ804"/>
      <c r="AK804"/>
      <c r="AL804"/>
      <c r="AM804"/>
      <c r="AN804"/>
      <c r="AO804"/>
      <c r="AP804"/>
      <c r="AQ804"/>
      <c r="AR804"/>
      <c r="AS804"/>
      <c r="AT804"/>
      <c r="AU804"/>
      <c r="AV804"/>
      <c r="AW804"/>
      <c r="AX804"/>
      <c r="AY804"/>
      <c r="AZ804" s="3"/>
      <c r="CP804" s="1267">
        <f t="shared" si="43"/>
        <v>0</v>
      </c>
      <c r="CQ804" s="1268"/>
      <c r="CR804" s="1268"/>
      <c r="CS804" s="1268"/>
      <c r="CT804" s="1269"/>
      <c r="CU804" s="1267">
        <f t="shared" si="44"/>
        <v>0</v>
      </c>
      <c r="CV804" s="1268"/>
      <c r="CW804" s="1268"/>
      <c r="CX804" s="1268"/>
      <c r="CY804" s="1269"/>
      <c r="CZ804" s="1267">
        <f t="shared" si="45"/>
        <v>0</v>
      </c>
      <c r="DA804" s="1268"/>
      <c r="DB804" s="1268"/>
      <c r="DC804" s="1268"/>
      <c r="DD804" s="1269"/>
      <c r="DE804" s="1267">
        <f t="shared" si="46"/>
        <v>0</v>
      </c>
      <c r="DF804" s="1268"/>
      <c r="DG804" s="1268"/>
      <c r="DH804" s="1268"/>
      <c r="DI804" s="1269"/>
      <c r="DJ804" s="1267">
        <f t="shared" si="47"/>
        <v>0</v>
      </c>
      <c r="DK804" s="1268"/>
      <c r="DL804" s="1268"/>
      <c r="DM804" s="1268"/>
      <c r="DN804" s="1269"/>
      <c r="DO804" s="1267">
        <f t="shared" si="48"/>
        <v>0</v>
      </c>
      <c r="DP804" s="1268"/>
      <c r="DQ804" s="1268"/>
      <c r="DR804" s="1268"/>
      <c r="DS804" s="1269"/>
      <c r="DT804" s="6"/>
      <c r="DU804" s="1267">
        <f t="shared" si="49"/>
        <v>0</v>
      </c>
      <c r="DV804" s="1268"/>
      <c r="DW804" s="1268"/>
      <c r="DX804" s="1268"/>
      <c r="DY804" s="1269"/>
      <c r="DZ804" s="1267">
        <f t="shared" si="50"/>
        <v>0</v>
      </c>
      <c r="EA804" s="1268"/>
      <c r="EB804" s="1268"/>
      <c r="EC804" s="1268"/>
      <c r="ED804" s="1269"/>
      <c r="EE804" s="1267">
        <f t="shared" si="51"/>
        <v>0</v>
      </c>
      <c r="EF804" s="1268"/>
      <c r="EG804" s="1268"/>
      <c r="EH804" s="1268"/>
      <c r="EI804" s="1269"/>
      <c r="EJ804" s="1267">
        <f t="shared" si="52"/>
        <v>0</v>
      </c>
      <c r="EK804" s="1268"/>
      <c r="EL804" s="1268"/>
      <c r="EM804" s="1268"/>
      <c r="EN804" s="1269"/>
      <c r="EO804" s="1267">
        <f t="shared" si="53"/>
        <v>0</v>
      </c>
      <c r="EP804" s="1268"/>
      <c r="EQ804" s="1268"/>
      <c r="ER804" s="1268"/>
      <c r="ES804" s="1269"/>
      <c r="ET804" s="1267">
        <f t="shared" si="54"/>
        <v>0</v>
      </c>
      <c r="EU804" s="1268"/>
      <c r="EV804" s="1268"/>
      <c r="EW804" s="1268"/>
      <c r="EX804" s="1269"/>
    </row>
    <row r="805" spans="1:154" s="4" customFormat="1" ht="12.95" customHeight="1">
      <c r="A805"/>
      <c r="B805"/>
      <c r="C805"/>
      <c r="D805"/>
      <c r="E805"/>
      <c r="F805"/>
      <c r="G805"/>
      <c r="H805"/>
      <c r="I805"/>
      <c r="J805" s="1399" t="s">
        <v>125</v>
      </c>
      <c r="K805" s="1400"/>
      <c r="L805" s="1400"/>
      <c r="M805" s="1400"/>
      <c r="N805" s="1402"/>
      <c r="O805" s="1546">
        <f>SUM(O795:S804)</f>
        <v>0</v>
      </c>
      <c r="P805" s="1546"/>
      <c r="Q805" s="1546"/>
      <c r="R805" s="1546"/>
      <c r="S805" s="1546"/>
      <c r="T805"/>
      <c r="U805"/>
      <c r="V805"/>
      <c r="W805"/>
      <c r="X805" s="898" t="s">
        <v>124</v>
      </c>
      <c r="Y805" s="11"/>
      <c r="Z805" s="11"/>
      <c r="AA805" s="11"/>
      <c r="AB805" s="905"/>
      <c r="AC805" s="1329">
        <f>SUM(AC795:AG804)</f>
        <v>0</v>
      </c>
      <c r="AD805" s="1330"/>
      <c r="AE805" s="1330"/>
      <c r="AF805" s="1330"/>
      <c r="AG805" s="1331"/>
      <c r="AH805"/>
      <c r="AI805"/>
      <c r="AJ805"/>
      <c r="AK805"/>
      <c r="AL805"/>
      <c r="AM805"/>
      <c r="AN805"/>
      <c r="AO805"/>
      <c r="AP805"/>
      <c r="AQ805"/>
      <c r="AR805"/>
      <c r="AS805"/>
      <c r="AT805"/>
      <c r="AU805"/>
      <c r="AV805"/>
      <c r="AW805"/>
      <c r="AX805"/>
      <c r="AY805"/>
      <c r="AZ805" s="3"/>
      <c r="BA805"/>
      <c r="CP805" s="1270">
        <f>SUM(CP795:CT804)</f>
        <v>0</v>
      </c>
      <c r="CQ805" s="1271"/>
      <c r="CR805" s="1271"/>
      <c r="CS805" s="1271"/>
      <c r="CT805" s="1272"/>
      <c r="CU805" s="1277">
        <f>SUM(CU795:CY804)</f>
        <v>0</v>
      </c>
      <c r="CV805" s="1278"/>
      <c r="CW805" s="1278"/>
      <c r="CX805" s="1278"/>
      <c r="CY805" s="1279"/>
      <c r="CZ805" s="1277">
        <f>SUM(CZ795:DD804)</f>
        <v>0</v>
      </c>
      <c r="DA805" s="1278"/>
      <c r="DB805" s="1278"/>
      <c r="DC805" s="1278"/>
      <c r="DD805" s="1279"/>
      <c r="DE805" s="1277">
        <f>SUM(DE795:DI804)</f>
        <v>0</v>
      </c>
      <c r="DF805" s="1278"/>
      <c r="DG805" s="1278"/>
      <c r="DH805" s="1278"/>
      <c r="DI805" s="1279"/>
      <c r="DJ805" s="1277">
        <f>SUM(DJ795:DN804)</f>
        <v>0</v>
      </c>
      <c r="DK805" s="1278"/>
      <c r="DL805" s="1278"/>
      <c r="DM805" s="1278"/>
      <c r="DN805" s="1279"/>
      <c r="DO805" s="1277">
        <f>SUM(DO795:DS804)</f>
        <v>0</v>
      </c>
      <c r="DP805" s="1278"/>
      <c r="DQ805" s="1278"/>
      <c r="DR805" s="1278"/>
      <c r="DS805" s="1279"/>
      <c r="DT805" s="1007"/>
      <c r="DU805" s="1270">
        <f>SUM(DU795:DY804)</f>
        <v>0</v>
      </c>
      <c r="DV805" s="1271"/>
      <c r="DW805" s="1271"/>
      <c r="DX805" s="1271"/>
      <c r="DY805" s="1272"/>
      <c r="DZ805" s="1270">
        <f>SUM(DZ795:ED804)</f>
        <v>0</v>
      </c>
      <c r="EA805" s="1271"/>
      <c r="EB805" s="1271"/>
      <c r="EC805" s="1271"/>
      <c r="ED805" s="1272"/>
      <c r="EE805" s="1270">
        <f>SUM(EE795:EI804)</f>
        <v>0</v>
      </c>
      <c r="EF805" s="1271"/>
      <c r="EG805" s="1271"/>
      <c r="EH805" s="1271"/>
      <c r="EI805" s="1272"/>
      <c r="EJ805" s="1270">
        <f>SUM(EJ795:EN804)</f>
        <v>0</v>
      </c>
      <c r="EK805" s="1271"/>
      <c r="EL805" s="1271"/>
      <c r="EM805" s="1271"/>
      <c r="EN805" s="1272"/>
      <c r="EO805" s="1270">
        <f>SUM(EO795:ES804)</f>
        <v>0</v>
      </c>
      <c r="EP805" s="1271"/>
      <c r="EQ805" s="1271"/>
      <c r="ER805" s="1271"/>
      <c r="ES805" s="1272"/>
      <c r="ET805" s="1270">
        <f>SUM(ET795:EX804)</f>
        <v>0</v>
      </c>
      <c r="EU805" s="1271"/>
      <c r="EV805" s="1271"/>
      <c r="EW805" s="1271"/>
      <c r="EX805" s="1272"/>
    </row>
    <row r="806" spans="1:154" s="4" customFormat="1" ht="12.95" customHeight="1">
      <c r="A806"/>
      <c r="B806"/>
      <c r="C806" s="1584" t="str">
        <f>IF(O805&lt;&gt;AG447,"! Total market rate units in the Unit Mix Table above does not match the number of  market rate units on row #"&amp;TEXT(ROW(D447),"#"),"")</f>
        <v/>
      </c>
      <c r="D806" s="1584"/>
      <c r="E806" s="1584"/>
      <c r="F806" s="1584"/>
      <c r="G806" s="1584"/>
      <c r="H806" s="1584"/>
      <c r="I806" s="1584"/>
      <c r="J806" s="1584"/>
      <c r="K806" s="1584"/>
      <c r="L806" s="1584"/>
      <c r="M806" s="1584"/>
      <c r="N806" s="1584"/>
      <c r="O806" s="1584"/>
      <c r="P806" s="1584"/>
      <c r="Q806" s="1584"/>
      <c r="R806" s="1584"/>
      <c r="S806" s="1584"/>
      <c r="T806" s="1584"/>
      <c r="U806" s="1584"/>
      <c r="V806" s="1584"/>
      <c r="W806" s="1584"/>
      <c r="X806" s="1584"/>
      <c r="Y806" s="1584"/>
      <c r="Z806" s="1584"/>
      <c r="AA806" s="1584"/>
      <c r="AB806" s="1584"/>
      <c r="AC806" s="1584"/>
      <c r="AD806" s="1584"/>
      <c r="AE806" s="1584"/>
      <c r="AF806" s="1584"/>
      <c r="AG806" s="1584"/>
      <c r="AH806" s="1584"/>
      <c r="AI806" s="1584"/>
      <c r="AJ806" s="1584"/>
      <c r="AK806" s="1584"/>
      <c r="AL806" s="1584"/>
      <c r="AM806" s="1584"/>
      <c r="AN806" s="158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84"/>
      <c r="D807" s="1584"/>
      <c r="E807" s="1584"/>
      <c r="F807" s="1584"/>
      <c r="G807" s="1584"/>
      <c r="H807" s="1584"/>
      <c r="I807" s="1584"/>
      <c r="J807" s="1584"/>
      <c r="K807" s="1584"/>
      <c r="L807" s="1584"/>
      <c r="M807" s="1584"/>
      <c r="N807" s="1584"/>
      <c r="O807" s="1584"/>
      <c r="P807" s="1584"/>
      <c r="Q807" s="1584"/>
      <c r="R807" s="1584"/>
      <c r="S807" s="1584"/>
      <c r="T807" s="1584"/>
      <c r="U807" s="1584"/>
      <c r="V807" s="1584"/>
      <c r="W807" s="1584"/>
      <c r="X807" s="1584"/>
      <c r="Y807" s="1584"/>
      <c r="Z807" s="1584"/>
      <c r="AA807" s="1584"/>
      <c r="AB807" s="1584"/>
      <c r="AC807" s="1584"/>
      <c r="AD807" s="1584"/>
      <c r="AE807" s="1584"/>
      <c r="AF807" s="1584"/>
      <c r="AG807" s="1584"/>
      <c r="AH807" s="1584"/>
      <c r="AI807" s="1584"/>
      <c r="AJ807" s="1584"/>
      <c r="AK807" s="1584"/>
      <c r="AL807" s="1584"/>
      <c r="AM807" s="1584"/>
      <c r="AN807" s="158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285">
        <f>SUM(DU805:EX805)</f>
        <v>0</v>
      </c>
      <c r="EU807" s="1286"/>
      <c r="EV807" s="1286"/>
      <c r="EW807" s="1286"/>
      <c r="EX807" s="1287"/>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24">
        <f>O761+AC785+AC805</f>
        <v>363749</v>
      </c>
      <c r="Z808" s="1524"/>
      <c r="AA808" s="1524"/>
      <c r="AB808" s="1524"/>
      <c r="AC808" s="152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4">
        <f>(O761+AC785+AC805)*12</f>
        <v>4364988</v>
      </c>
      <c r="Z809" s="1524"/>
      <c r="AA809" s="1524"/>
      <c r="AB809" s="1524"/>
      <c r="AC809" s="152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77">
        <f>CP761+CP785+CP805</f>
        <v>0</v>
      </c>
      <c r="CQ810" s="1278"/>
      <c r="CR810" s="1278"/>
      <c r="CS810" s="1278"/>
      <c r="CT810" s="1279"/>
      <c r="CU810" s="1277">
        <f>CU761+CU785+CU805</f>
        <v>36</v>
      </c>
      <c r="CV810" s="1278"/>
      <c r="CW810" s="1278"/>
      <c r="CX810" s="1278"/>
      <c r="CY810" s="1279"/>
      <c r="CZ810" s="1277">
        <f>CZ761+CZ785+CZ805</f>
        <v>84</v>
      </c>
      <c r="DA810" s="1278"/>
      <c r="DB810" s="1278"/>
      <c r="DC810" s="1278"/>
      <c r="DD810" s="1279"/>
      <c r="DE810" s="1277">
        <f>DE761+DE785+DE805</f>
        <v>84</v>
      </c>
      <c r="DF810" s="1278"/>
      <c r="DG810" s="1278"/>
      <c r="DH810" s="1278"/>
      <c r="DI810" s="1279"/>
      <c r="DJ810" s="1277">
        <f>DJ761+DJ785+DJ805</f>
        <v>36</v>
      </c>
      <c r="DK810" s="1278"/>
      <c r="DL810" s="1278"/>
      <c r="DM810" s="1278"/>
      <c r="DN810" s="1279"/>
      <c r="DO810" s="1275">
        <f>DO805+DO785+DO761</f>
        <v>0</v>
      </c>
      <c r="DP810" s="1288"/>
      <c r="DQ810" s="1288"/>
      <c r="DR810" s="1288"/>
      <c r="DS810" s="1276"/>
      <c r="DT810" s="3"/>
      <c r="DU810" s="857">
        <f>DU763+DU808</f>
        <v>592</v>
      </c>
      <c r="DV810" s="57" t="s">
        <v>1835</v>
      </c>
    </row>
    <row r="811" spans="1:154" s="4" customFormat="1" ht="12.95" customHeight="1">
      <c r="A811" s="2" t="s">
        <v>587</v>
      </c>
      <c r="B811" s="2"/>
      <c r="C811" s="2" t="s">
        <v>610</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355</v>
      </c>
      <c r="I814" s="5"/>
      <c r="J814" s="5"/>
      <c r="K814" s="5"/>
      <c r="L814" s="5"/>
      <c r="M814" s="5"/>
      <c r="N814" s="5"/>
      <c r="O814" s="5"/>
      <c r="P814" s="5"/>
      <c r="Q814" s="5"/>
      <c r="R814" s="5"/>
      <c r="S814" s="5"/>
      <c r="T814" s="5"/>
      <c r="U814" s="5"/>
      <c r="V814" s="5"/>
      <c r="W814" s="5"/>
      <c r="X814" s="5"/>
      <c r="Y814" s="5"/>
      <c r="Z814" s="1561"/>
      <c r="AA814" s="1559"/>
      <c r="AB814" s="1559"/>
      <c r="AC814" s="1559"/>
      <c r="AD814" s="1559"/>
      <c r="AE814" s="156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356</v>
      </c>
      <c r="I815" s="5"/>
      <c r="J815" s="5"/>
      <c r="K815" s="5"/>
      <c r="L815" s="5"/>
      <c r="M815" s="5"/>
      <c r="N815" s="5"/>
      <c r="O815" s="5"/>
      <c r="P815" s="5"/>
      <c r="Q815" s="5"/>
      <c r="R815" s="5"/>
      <c r="S815" s="5"/>
      <c r="T815" s="5"/>
      <c r="U815" s="5"/>
      <c r="V815" s="5"/>
      <c r="W815" s="5"/>
      <c r="X815" s="5"/>
      <c r="Y815" s="5"/>
      <c r="Z815" s="1558"/>
      <c r="AA815" s="1559"/>
      <c r="AB815" s="1559"/>
      <c r="AC815" s="1559"/>
      <c r="AD815" s="1559"/>
      <c r="AE815" s="156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79">
        <v>0</v>
      </c>
      <c r="AA816" s="1433"/>
      <c r="AB816" s="1433"/>
      <c r="AC816" s="1433"/>
      <c r="AD816" s="1433"/>
      <c r="AE816" s="158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3">
        <f>'Subsidy Contract Calculation'!J40</f>
        <v>0</v>
      </c>
      <c r="AA817" s="1414"/>
      <c r="AB817" s="1414"/>
      <c r="AC817" s="1414"/>
      <c r="AD817" s="1414"/>
      <c r="AE817" s="1415"/>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588</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6">
        <v>145515.78947368421</v>
      </c>
      <c r="AA821" s="1273"/>
      <c r="AB821" s="1273"/>
      <c r="AC821" s="1273"/>
      <c r="AD821" s="1273"/>
      <c r="AE821" s="1274"/>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6"/>
      <c r="AA822" s="1273"/>
      <c r="AB822" s="1273"/>
      <c r="AC822" s="1273"/>
      <c r="AD822" s="1273"/>
      <c r="AE822" s="1274"/>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6"/>
      <c r="AA823" s="1273"/>
      <c r="AB823" s="1273"/>
      <c r="AC823" s="1273"/>
      <c r="AD823" s="1273"/>
      <c r="AE823" s="1274"/>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54" t="s">
        <v>2770</v>
      </c>
      <c r="Q824" s="1555"/>
      <c r="R824" s="1555"/>
      <c r="S824" s="1555"/>
      <c r="T824" s="1555"/>
      <c r="U824" s="1555"/>
      <c r="V824" s="1555"/>
      <c r="W824" s="1555"/>
      <c r="X824" s="1555"/>
      <c r="Y824" s="1556"/>
      <c r="Z824" s="1416">
        <v>243630.55578947361</v>
      </c>
      <c r="AA824" s="1273"/>
      <c r="AB824" s="1273"/>
      <c r="AC824" s="1273"/>
      <c r="AD824" s="1273"/>
      <c r="AE824" s="1274"/>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3">
        <f>SUM(Z821:AE824)</f>
        <v>389146.34526315785</v>
      </c>
      <c r="AA825" s="1414"/>
      <c r="AB825" s="1414"/>
      <c r="AC825" s="1414"/>
      <c r="AD825" s="1414"/>
      <c r="AE825" s="1415"/>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413">
        <f>Z825+Y809+Z817</f>
        <v>4754134.345263158</v>
      </c>
      <c r="AA826" s="1414"/>
      <c r="AB826" s="1414"/>
      <c r="AC826" s="1414"/>
      <c r="AD826" s="1414"/>
      <c r="AE826" s="1415"/>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590</v>
      </c>
      <c r="B828" s="2"/>
      <c r="C828" s="2" t="s">
        <v>423</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29" t="s">
        <v>126</v>
      </c>
      <c r="N831" s="1629"/>
      <c r="O831" s="1629"/>
      <c r="P831" s="1630"/>
      <c r="Q831" s="1548" t="s">
        <v>289</v>
      </c>
      <c r="R831" s="1548"/>
      <c r="S831" s="1548"/>
      <c r="T831" s="1548"/>
      <c r="U831" s="1548" t="s">
        <v>290</v>
      </c>
      <c r="V831" s="1548"/>
      <c r="W831" s="1548"/>
      <c r="X831" s="1548"/>
      <c r="Y831" s="1548" t="s">
        <v>291</v>
      </c>
      <c r="Z831" s="1548"/>
      <c r="AA831" s="1548"/>
      <c r="AB831" s="1548"/>
      <c r="AC831" s="1548" t="s">
        <v>359</v>
      </c>
      <c r="AD831" s="1548"/>
      <c r="AE831" s="1548"/>
      <c r="AF831" s="1548"/>
      <c r="AG831" s="1537" t="s">
        <v>2732</v>
      </c>
      <c r="AH831" s="1537"/>
      <c r="AI831" s="1537"/>
      <c r="AJ831" s="1537"/>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31"/>
      <c r="N832" s="1631"/>
      <c r="O832" s="1631"/>
      <c r="P832" s="1632"/>
      <c r="Q832" s="1548"/>
      <c r="R832" s="1548"/>
      <c r="S832" s="1548"/>
      <c r="T832" s="1548"/>
      <c r="U832" s="1548"/>
      <c r="V832" s="1548"/>
      <c r="W832" s="1548"/>
      <c r="X832" s="1548"/>
      <c r="Y832" s="1548"/>
      <c r="Z832" s="1548"/>
      <c r="AA832" s="1548"/>
      <c r="AB832" s="1548"/>
      <c r="AC832" s="1548"/>
      <c r="AD832" s="1548"/>
      <c r="AE832" s="1548"/>
      <c r="AF832" s="1548"/>
      <c r="AG832" s="1537"/>
      <c r="AH832" s="1537"/>
      <c r="AI832" s="1537"/>
      <c r="AJ832" s="1537"/>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85" t="s">
        <v>40</v>
      </c>
      <c r="D833" s="1296"/>
      <c r="E833" s="1296"/>
      <c r="F833" s="1296"/>
      <c r="G833" s="1296"/>
      <c r="H833" s="1296"/>
      <c r="I833" s="48"/>
      <c r="J833" s="48"/>
      <c r="K833" s="48"/>
      <c r="L833" s="49"/>
      <c r="M833" s="1542">
        <v>0</v>
      </c>
      <c r="N833" s="1542"/>
      <c r="O833" s="1542"/>
      <c r="P833" s="1542"/>
      <c r="Q833" s="1542">
        <v>1</v>
      </c>
      <c r="R833" s="1542"/>
      <c r="S833" s="1542"/>
      <c r="T833" s="1542"/>
      <c r="U833" s="1542">
        <v>1</v>
      </c>
      <c r="V833" s="1542"/>
      <c r="W833" s="1542"/>
      <c r="X833" s="1542"/>
      <c r="Y833" s="1542">
        <v>1</v>
      </c>
      <c r="Z833" s="1542"/>
      <c r="AA833" s="1542"/>
      <c r="AB833" s="1542"/>
      <c r="AC833" s="1370">
        <v>1</v>
      </c>
      <c r="AD833" s="1371"/>
      <c r="AE833" s="1371"/>
      <c r="AF833" s="1372"/>
      <c r="AG833" s="1370">
        <v>0</v>
      </c>
      <c r="AH833" s="1371"/>
      <c r="AI833" s="1371"/>
      <c r="AJ833" s="1372"/>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20" t="s">
        <v>41</v>
      </c>
      <c r="D834" s="1321"/>
      <c r="E834" s="1321"/>
      <c r="F834" s="1321"/>
      <c r="G834" s="1321"/>
      <c r="H834" s="1321"/>
      <c r="I834" s="5"/>
      <c r="J834" s="5"/>
      <c r="K834" s="5"/>
      <c r="L834" s="46"/>
      <c r="M834" s="1542">
        <v>0</v>
      </c>
      <c r="N834" s="1542"/>
      <c r="O834" s="1542"/>
      <c r="P834" s="1542"/>
      <c r="Q834" s="1542">
        <v>3</v>
      </c>
      <c r="R834" s="1542"/>
      <c r="S834" s="1542"/>
      <c r="T834" s="1542"/>
      <c r="U834" s="1542">
        <v>3</v>
      </c>
      <c r="V834" s="1542"/>
      <c r="W834" s="1542"/>
      <c r="X834" s="1542"/>
      <c r="Y834" s="1542">
        <v>3</v>
      </c>
      <c r="Z834" s="1542"/>
      <c r="AA834" s="1542"/>
      <c r="AB834" s="1542"/>
      <c r="AC834" s="1370">
        <v>3</v>
      </c>
      <c r="AD834" s="1371"/>
      <c r="AE834" s="1371"/>
      <c r="AF834" s="1372"/>
      <c r="AG834" s="1370">
        <v>0</v>
      </c>
      <c r="AH834" s="1371"/>
      <c r="AI834" s="1371"/>
      <c r="AJ834" s="1372"/>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20" t="s">
        <v>42</v>
      </c>
      <c r="D835" s="1321"/>
      <c r="E835" s="1321"/>
      <c r="F835" s="1321"/>
      <c r="G835" s="1321"/>
      <c r="H835" s="1321"/>
      <c r="I835" s="60"/>
      <c r="J835" s="60"/>
      <c r="K835" s="60"/>
      <c r="L835" s="61"/>
      <c r="M835" s="1542">
        <v>0</v>
      </c>
      <c r="N835" s="1542"/>
      <c r="O835" s="1542"/>
      <c r="P835" s="1542"/>
      <c r="Q835" s="1542">
        <v>1</v>
      </c>
      <c r="R835" s="1542"/>
      <c r="S835" s="1542"/>
      <c r="T835" s="1542"/>
      <c r="U835" s="1542">
        <v>1</v>
      </c>
      <c r="V835" s="1542"/>
      <c r="W835" s="1542"/>
      <c r="X835" s="1542"/>
      <c r="Y835" s="1542">
        <v>1</v>
      </c>
      <c r="Z835" s="1542"/>
      <c r="AA835" s="1542"/>
      <c r="AB835" s="1542"/>
      <c r="AC835" s="1370">
        <v>1</v>
      </c>
      <c r="AD835" s="1371"/>
      <c r="AE835" s="1371"/>
      <c r="AF835" s="1372"/>
      <c r="AG835" s="1370">
        <v>0</v>
      </c>
      <c r="AH835" s="1371"/>
      <c r="AI835" s="1371"/>
      <c r="AJ835" s="1372"/>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20" t="s">
        <v>760</v>
      </c>
      <c r="D836" s="1321"/>
      <c r="E836" s="1321"/>
      <c r="F836" s="1321"/>
      <c r="G836" s="1321"/>
      <c r="H836" s="1321"/>
      <c r="I836" s="60"/>
      <c r="J836" s="60"/>
      <c r="K836" s="60"/>
      <c r="L836" s="61"/>
      <c r="M836" s="1542">
        <v>0</v>
      </c>
      <c r="N836" s="1542"/>
      <c r="O836" s="1542"/>
      <c r="P836" s="1542"/>
      <c r="Q836" s="1542">
        <v>1</v>
      </c>
      <c r="R836" s="1542"/>
      <c r="S836" s="1542"/>
      <c r="T836" s="1542"/>
      <c r="U836" s="1542">
        <v>2</v>
      </c>
      <c r="V836" s="1542"/>
      <c r="W836" s="1542"/>
      <c r="X836" s="1542"/>
      <c r="Y836" s="1542">
        <v>1</v>
      </c>
      <c r="Z836" s="1542"/>
      <c r="AA836" s="1542"/>
      <c r="AB836" s="1542"/>
      <c r="AC836" s="1370">
        <v>2</v>
      </c>
      <c r="AD836" s="1371"/>
      <c r="AE836" s="1371"/>
      <c r="AF836" s="1372"/>
      <c r="AG836" s="1370">
        <v>0</v>
      </c>
      <c r="AH836" s="1371"/>
      <c r="AI836" s="1371"/>
      <c r="AJ836" s="1372"/>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20" t="s">
        <v>457</v>
      </c>
      <c r="D837" s="1321"/>
      <c r="E837" s="1321"/>
      <c r="F837" s="1321"/>
      <c r="G837" s="1321"/>
      <c r="H837" s="1321"/>
      <c r="I837" s="60"/>
      <c r="J837" s="60"/>
      <c r="K837" s="60"/>
      <c r="L837" s="61"/>
      <c r="M837" s="1542">
        <v>0</v>
      </c>
      <c r="N837" s="1542"/>
      <c r="O837" s="1542"/>
      <c r="P837" s="1542"/>
      <c r="Q837" s="1542">
        <v>15</v>
      </c>
      <c r="R837" s="1542"/>
      <c r="S837" s="1542"/>
      <c r="T837" s="1542"/>
      <c r="U837" s="1542">
        <v>19</v>
      </c>
      <c r="V837" s="1542"/>
      <c r="W837" s="1542"/>
      <c r="X837" s="1542"/>
      <c r="Y837" s="1542">
        <v>17</v>
      </c>
      <c r="Z837" s="1542"/>
      <c r="AA837" s="1542"/>
      <c r="AB837" s="1542"/>
      <c r="AC837" s="1370">
        <v>20</v>
      </c>
      <c r="AD837" s="1371"/>
      <c r="AE837" s="1371"/>
      <c r="AF837" s="1372"/>
      <c r="AG837" s="1370">
        <v>0</v>
      </c>
      <c r="AH837" s="1371"/>
      <c r="AI837" s="1371"/>
      <c r="AJ837" s="1372"/>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569" t="s">
        <v>781</v>
      </c>
      <c r="D838" s="1321"/>
      <c r="E838" s="1321"/>
      <c r="F838" s="1321"/>
      <c r="G838" s="1321"/>
      <c r="H838" s="1321"/>
      <c r="I838" s="60"/>
      <c r="J838" s="60"/>
      <c r="K838" s="60"/>
      <c r="L838" s="61"/>
      <c r="M838" s="1542">
        <v>0</v>
      </c>
      <c r="N838" s="1542"/>
      <c r="O838" s="1542"/>
      <c r="P838" s="1542"/>
      <c r="Q838" s="1542">
        <v>0</v>
      </c>
      <c r="R838" s="1542"/>
      <c r="S838" s="1542"/>
      <c r="T838" s="1542"/>
      <c r="U838" s="1542">
        <v>0</v>
      </c>
      <c r="V838" s="1542"/>
      <c r="W838" s="1542"/>
      <c r="X838" s="1542"/>
      <c r="Y838" s="1542">
        <v>0</v>
      </c>
      <c r="Z838" s="1542"/>
      <c r="AA838" s="1542"/>
      <c r="AB838" s="1542"/>
      <c r="AC838" s="1370">
        <v>0</v>
      </c>
      <c r="AD838" s="1371"/>
      <c r="AE838" s="1371"/>
      <c r="AF838" s="1372"/>
      <c r="AG838" s="1370">
        <v>0</v>
      </c>
      <c r="AH838" s="1371"/>
      <c r="AI838" s="1371"/>
      <c r="AJ838" s="1372"/>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554" t="s">
        <v>2767</v>
      </c>
      <c r="G839" s="1555"/>
      <c r="H839" s="1555"/>
      <c r="I839" s="1555"/>
      <c r="J839" s="1555"/>
      <c r="K839" s="1555"/>
      <c r="L839" s="1555"/>
      <c r="M839" s="1542"/>
      <c r="N839" s="1542"/>
      <c r="O839" s="1542"/>
      <c r="P839" s="1542"/>
      <c r="Q839" s="1542">
        <v>6</v>
      </c>
      <c r="R839" s="1542"/>
      <c r="S839" s="1542"/>
      <c r="T839" s="1542"/>
      <c r="U839" s="1542">
        <v>9</v>
      </c>
      <c r="V839" s="1542"/>
      <c r="W839" s="1542"/>
      <c r="X839" s="1542"/>
      <c r="Y839" s="1542">
        <v>9</v>
      </c>
      <c r="Z839" s="1542"/>
      <c r="AA839" s="1542"/>
      <c r="AB839" s="1542"/>
      <c r="AC839" s="1370">
        <v>10</v>
      </c>
      <c r="AD839" s="1371"/>
      <c r="AE839" s="1371"/>
      <c r="AF839" s="1372"/>
      <c r="AG839" s="1370"/>
      <c r="AH839" s="1371"/>
      <c r="AI839" s="1371"/>
      <c r="AJ839" s="1372"/>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99" t="s">
        <v>124</v>
      </c>
      <c r="D840" s="1400"/>
      <c r="E840" s="1400"/>
      <c r="F840" s="1400"/>
      <c r="G840" s="1400"/>
      <c r="H840" s="1400"/>
      <c r="I840" s="1400"/>
      <c r="J840" s="1400"/>
      <c r="K840" s="1400"/>
      <c r="L840" s="1402"/>
      <c r="M840" s="1609">
        <f>SUM(M833:P839)</f>
        <v>0</v>
      </c>
      <c r="N840" s="1609"/>
      <c r="O840" s="1609"/>
      <c r="P840" s="1609"/>
      <c r="Q840" s="1609">
        <f>SUM(Q833:T839)</f>
        <v>27</v>
      </c>
      <c r="R840" s="1609"/>
      <c r="S840" s="1609"/>
      <c r="T840" s="1609"/>
      <c r="U840" s="1609">
        <f>SUM(U833:X839)</f>
        <v>35</v>
      </c>
      <c r="V840" s="1609"/>
      <c r="W840" s="1609"/>
      <c r="X840" s="1609"/>
      <c r="Y840" s="1609">
        <f>SUM(Y833:AB839)</f>
        <v>32</v>
      </c>
      <c r="Z840" s="1609"/>
      <c r="AA840" s="1609"/>
      <c r="AB840" s="1609"/>
      <c r="AC840" s="1609">
        <f>SUM(AC833:AF839)</f>
        <v>37</v>
      </c>
      <c r="AD840" s="1609"/>
      <c r="AE840" s="1609"/>
      <c r="AF840" s="1609"/>
      <c r="AG840" s="1609">
        <f>SUM(AG833:AJ839)</f>
        <v>0</v>
      </c>
      <c r="AH840" s="1609"/>
      <c r="AI840" s="1609"/>
      <c r="AJ840" s="1609"/>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66" t="s">
        <v>2759</v>
      </c>
      <c r="D845" s="1567"/>
      <c r="E845" s="1567"/>
      <c r="F845" s="1567"/>
      <c r="G845" s="1567"/>
      <c r="H845" s="1567"/>
      <c r="I845" s="1567"/>
      <c r="J845" s="1567"/>
      <c r="K845" s="1567"/>
      <c r="L845" s="1567"/>
      <c r="M845" s="1567"/>
      <c r="N845" s="1567"/>
      <c r="O845" s="1567"/>
      <c r="P845" s="1567"/>
      <c r="Q845" s="1567"/>
      <c r="R845" s="1567"/>
      <c r="S845" s="1567"/>
      <c r="T845" s="1567"/>
      <c r="U845" s="1567"/>
      <c r="V845" s="1567"/>
      <c r="W845" s="1567"/>
      <c r="X845" s="1567"/>
      <c r="Y845" s="1567"/>
      <c r="Z845" s="1567"/>
      <c r="AA845" s="1567"/>
      <c r="AB845" s="1567"/>
      <c r="AC845" s="1567"/>
      <c r="AD845" s="1567"/>
      <c r="AE845" s="1567"/>
      <c r="AF845" s="1567"/>
      <c r="AG845" s="1567"/>
      <c r="AH845" s="1567"/>
      <c r="AI845" s="1567"/>
      <c r="AJ845" s="1568"/>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465</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2"/>
      <c r="BJ849" s="1572"/>
      <c r="BK849" s="1572"/>
      <c r="BL849" s="1572"/>
    </row>
    <row r="850" spans="1:64" s="14" customFormat="1" ht="12.95" customHeight="1">
      <c r="A850"/>
      <c r="B850"/>
      <c r="C850" s="2" t="s">
        <v>341</v>
      </c>
      <c r="D850"/>
      <c r="E850"/>
      <c r="F850"/>
      <c r="G850"/>
      <c r="H850"/>
      <c r="I850"/>
      <c r="J850" s="45" t="s">
        <v>354</v>
      </c>
      <c r="K850" s="5"/>
      <c r="L850" s="5"/>
      <c r="M850" s="5"/>
      <c r="N850" s="5"/>
      <c r="O850" s="5"/>
      <c r="P850" s="5"/>
      <c r="Q850" s="5"/>
      <c r="R850" s="5"/>
      <c r="S850" s="5"/>
      <c r="T850" s="5"/>
      <c r="U850" s="5"/>
      <c r="V850" s="46"/>
      <c r="W850" s="1545">
        <v>12000</v>
      </c>
      <c r="X850" s="1545"/>
      <c r="Y850" s="1545"/>
      <c r="Z850" s="1545"/>
      <c r="AA850" s="1545"/>
      <c r="AB850" s="1545"/>
      <c r="AC850" s="1545"/>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353</v>
      </c>
      <c r="K851" s="5"/>
      <c r="L851" s="5"/>
      <c r="M851" s="5"/>
      <c r="N851" s="5"/>
      <c r="O851" s="5"/>
      <c r="P851" s="5"/>
      <c r="Q851" s="5"/>
      <c r="R851" s="5"/>
      <c r="S851" s="5"/>
      <c r="T851" s="5"/>
      <c r="U851" s="5"/>
      <c r="V851" s="46"/>
      <c r="W851" s="1545">
        <v>15000</v>
      </c>
      <c r="X851" s="1545"/>
      <c r="Y851" s="1545"/>
      <c r="Z851" s="1545"/>
      <c r="AA851" s="1545"/>
      <c r="AB851" s="1545"/>
      <c r="AC851" s="1545"/>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352</v>
      </c>
      <c r="K852" s="5"/>
      <c r="L852" s="5"/>
      <c r="M852" s="5"/>
      <c r="N852" s="5"/>
      <c r="O852" s="5"/>
      <c r="P852" s="5"/>
      <c r="Q852" s="5"/>
      <c r="R852" s="5"/>
      <c r="S852" s="5"/>
      <c r="T852" s="5"/>
      <c r="U852" s="5"/>
      <c r="V852" s="46"/>
      <c r="W852" s="1545">
        <v>12000</v>
      </c>
      <c r="X852" s="1545"/>
      <c r="Y852" s="1545"/>
      <c r="Z852" s="1545"/>
      <c r="AA852" s="1545"/>
      <c r="AB852" s="1545"/>
      <c r="AC852" s="1545"/>
      <c r="AZ852" s="30"/>
      <c r="BA852" s="30"/>
      <c r="BB852" s="14"/>
      <c r="BC852" s="14"/>
      <c r="BD852" s="14"/>
      <c r="BE852" s="14"/>
      <c r="BF852" s="14"/>
      <c r="BG852" s="14"/>
      <c r="BH852" s="14"/>
      <c r="BI852" s="14"/>
      <c r="BJ852" s="14"/>
      <c r="BK852" s="14"/>
      <c r="BL852" s="14"/>
    </row>
    <row r="853" spans="1:64" ht="12.95" customHeight="1">
      <c r="J853" s="45" t="s">
        <v>351</v>
      </c>
      <c r="K853" s="5"/>
      <c r="L853" s="5"/>
      <c r="M853" s="5"/>
      <c r="N853" s="5"/>
      <c r="O853" s="5"/>
      <c r="P853" s="5"/>
      <c r="Q853" s="5"/>
      <c r="R853" s="5"/>
      <c r="S853" s="5"/>
      <c r="T853" s="5"/>
      <c r="U853" s="5"/>
      <c r="V853" s="46"/>
      <c r="W853" s="1545"/>
      <c r="X853" s="1545"/>
      <c r="Y853" s="1545"/>
      <c r="Z853" s="1545"/>
      <c r="AA853" s="1545"/>
      <c r="AB853" s="1545"/>
      <c r="AC853" s="1545"/>
      <c r="AZ853" s="30"/>
      <c r="BA853" s="30"/>
      <c r="BB853" s="14"/>
      <c r="BC853" s="14"/>
      <c r="BD853" s="14"/>
      <c r="BE853" s="14"/>
      <c r="BF853" s="14"/>
      <c r="BG853" s="14"/>
      <c r="BH853" s="14"/>
      <c r="BI853" s="14"/>
      <c r="BJ853" s="14"/>
      <c r="BK853" s="14"/>
      <c r="BL853" s="14"/>
    </row>
    <row r="854" spans="1:64" ht="12.95" customHeight="1">
      <c r="J854" s="45" t="s">
        <v>169</v>
      </c>
      <c r="K854" s="5"/>
      <c r="L854" s="5"/>
      <c r="M854" s="1554" t="s">
        <v>2653</v>
      </c>
      <c r="N854" s="1555"/>
      <c r="O854" s="1555"/>
      <c r="P854" s="1555"/>
      <c r="Q854" s="1555"/>
      <c r="R854" s="1555"/>
      <c r="S854" s="1555"/>
      <c r="T854" s="1555"/>
      <c r="U854" s="1555"/>
      <c r="V854" s="1556"/>
      <c r="W854" s="1545">
        <v>33000</v>
      </c>
      <c r="X854" s="1545"/>
      <c r="Y854" s="1545"/>
      <c r="Z854" s="1545"/>
      <c r="AA854" s="1545"/>
      <c r="AB854" s="1545"/>
      <c r="AC854" s="1545"/>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340</v>
      </c>
      <c r="W855" s="1413">
        <f>SUM(W850:W854)</f>
        <v>72000</v>
      </c>
      <c r="X855" s="1414"/>
      <c r="Y855" s="1414"/>
      <c r="Z855" s="1414"/>
      <c r="AA855" s="1414"/>
      <c r="AB855" s="1414"/>
      <c r="AC855" s="1415"/>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71"/>
      <c r="BH856" s="1571"/>
      <c r="BI856" s="1571"/>
      <c r="BJ856" s="1571"/>
      <c r="BK856" s="1571"/>
      <c r="BL856" s="1571"/>
    </row>
    <row r="857" spans="1:64" ht="12.95" customHeight="1">
      <c r="C857" s="2" t="s">
        <v>342</v>
      </c>
      <c r="J857" s="1399" t="s">
        <v>343</v>
      </c>
      <c r="K857" s="1400"/>
      <c r="L857" s="1400"/>
      <c r="M857" s="1400"/>
      <c r="N857" s="1400"/>
      <c r="O857" s="1400"/>
      <c r="P857" s="1400"/>
      <c r="Q857" s="1400"/>
      <c r="R857" s="1400"/>
      <c r="S857" s="1400"/>
      <c r="T857" s="1400"/>
      <c r="U857" s="1400"/>
      <c r="V857" s="1402"/>
      <c r="W857" s="1416">
        <v>146783.89791000003</v>
      </c>
      <c r="X857" s="1273"/>
      <c r="Y857" s="1273"/>
      <c r="Z857" s="1273"/>
      <c r="AA857" s="1273"/>
      <c r="AB857" s="1273"/>
      <c r="AC857" s="1274"/>
      <c r="AD857" s="533"/>
      <c r="AZ857" s="30"/>
      <c r="BA857" s="30"/>
      <c r="BB857" s="14"/>
      <c r="BC857" s="14"/>
    </row>
    <row r="858" spans="1:64" ht="12.95" customHeight="1">
      <c r="AD858" s="533"/>
      <c r="AZ858" s="30"/>
      <c r="BA858" s="30"/>
      <c r="BB858" s="14"/>
      <c r="BC858" s="14"/>
    </row>
    <row r="859" spans="1:64" ht="12.95" customHeight="1">
      <c r="C859" s="2" t="s">
        <v>559</v>
      </c>
      <c r="J859" s="45" t="s">
        <v>350</v>
      </c>
      <c r="K859" s="5"/>
      <c r="L859" s="5"/>
      <c r="M859" s="5"/>
      <c r="N859" s="5"/>
      <c r="O859" s="5"/>
      <c r="P859" s="5"/>
      <c r="Q859" s="5"/>
      <c r="R859" s="5"/>
      <c r="S859" s="5"/>
      <c r="T859" s="5"/>
      <c r="U859" s="5"/>
      <c r="V859" s="46"/>
      <c r="W859" s="1565"/>
      <c r="X859" s="1565"/>
      <c r="Y859" s="1565"/>
      <c r="Z859" s="1565"/>
      <c r="AA859" s="1565"/>
      <c r="AB859" s="1565"/>
      <c r="AC859" s="1565"/>
      <c r="AZ859" s="1576"/>
      <c r="BA859" s="1576"/>
      <c r="BB859" s="14"/>
      <c r="BC859" s="14"/>
    </row>
    <row r="860" spans="1:64" ht="12.95" customHeight="1">
      <c r="J860" s="45" t="s">
        <v>349</v>
      </c>
      <c r="K860" s="5"/>
      <c r="L860" s="5"/>
      <c r="M860" s="5"/>
      <c r="N860" s="5"/>
      <c r="O860" s="5"/>
      <c r="P860" s="5"/>
      <c r="Q860" s="5"/>
      <c r="R860" s="5"/>
      <c r="S860" s="5"/>
      <c r="T860" s="5"/>
      <c r="U860" s="5"/>
      <c r="V860" s="46"/>
      <c r="W860" s="1565"/>
      <c r="X860" s="1565"/>
      <c r="Y860" s="1565"/>
      <c r="Z860" s="1565"/>
      <c r="AA860" s="1565"/>
      <c r="AB860" s="1565"/>
      <c r="AC860" s="1565"/>
      <c r="AZ860" s="30"/>
      <c r="BA860" s="30"/>
      <c r="BB860" s="14"/>
      <c r="BC860" s="14"/>
    </row>
    <row r="861" spans="1:64" ht="12.95" customHeight="1">
      <c r="J861" s="45" t="s">
        <v>457</v>
      </c>
      <c r="K861" s="5"/>
      <c r="L861" s="5"/>
      <c r="M861" s="5"/>
      <c r="N861" s="5"/>
      <c r="O861" s="5"/>
      <c r="P861" s="5"/>
      <c r="Q861" s="5"/>
      <c r="R861" s="5"/>
      <c r="S861" s="5"/>
      <c r="T861" s="5"/>
      <c r="U861" s="5"/>
      <c r="V861" s="46"/>
      <c r="W861" s="1565">
        <v>36000</v>
      </c>
      <c r="X861" s="1565"/>
      <c r="Y861" s="1565"/>
      <c r="Z861" s="1565"/>
      <c r="AA861" s="1565"/>
      <c r="AB861" s="1565"/>
      <c r="AC861" s="1565"/>
      <c r="AZ861" s="30"/>
      <c r="BA861" s="30"/>
      <c r="BB861" s="14"/>
      <c r="BC861" s="14"/>
    </row>
    <row r="862" spans="1:64" ht="12.95" customHeight="1">
      <c r="J862" s="62" t="s">
        <v>618</v>
      </c>
      <c r="K862" s="5"/>
      <c r="L862" s="5"/>
      <c r="M862" s="5"/>
      <c r="N862" s="5"/>
      <c r="O862" s="5"/>
      <c r="P862" s="5"/>
      <c r="Q862" s="5"/>
      <c r="R862" s="5"/>
      <c r="S862" s="5"/>
      <c r="T862" s="5"/>
      <c r="U862" s="5"/>
      <c r="V862" s="46"/>
      <c r="W862" s="1565">
        <v>240000</v>
      </c>
      <c r="X862" s="1565"/>
      <c r="Y862" s="1565"/>
      <c r="Z862" s="1565"/>
      <c r="AA862" s="1565"/>
      <c r="AB862" s="1565"/>
      <c r="AC862" s="1565"/>
      <c r="AZ862" s="34"/>
      <c r="BA862" s="34"/>
      <c r="BB862" s="34"/>
      <c r="BC862" s="34"/>
    </row>
    <row r="863" spans="1:64" ht="12.95" customHeight="1">
      <c r="J863" s="63"/>
      <c r="K863" s="48"/>
      <c r="L863" s="48"/>
      <c r="M863" s="48"/>
      <c r="N863" s="48"/>
      <c r="O863" s="48"/>
      <c r="P863" s="48"/>
      <c r="Q863" s="48"/>
      <c r="R863" s="48"/>
      <c r="S863" s="48"/>
      <c r="T863" s="48"/>
      <c r="U863" s="48"/>
      <c r="V863" s="54" t="s">
        <v>271</v>
      </c>
      <c r="W863" s="1581">
        <f>SUM(W859:W862)</f>
        <v>276000</v>
      </c>
      <c r="X863" s="1581"/>
      <c r="Y863" s="1581"/>
      <c r="Z863" s="1581"/>
      <c r="AA863" s="1581"/>
      <c r="AB863" s="1581"/>
      <c r="AC863" s="1581"/>
      <c r="AZ863" s="34"/>
      <c r="BA863" s="34"/>
      <c r="BB863" s="34"/>
      <c r="BC863" s="34"/>
    </row>
    <row r="864" spans="1:64" ht="12.95" customHeight="1">
      <c r="AZ864" s="34"/>
      <c r="BA864" s="34"/>
      <c r="BB864" s="34"/>
      <c r="BC864" s="34"/>
    </row>
    <row r="865" spans="3:55" ht="12.95" customHeight="1">
      <c r="C865" s="2" t="s">
        <v>344</v>
      </c>
      <c r="J865" s="45" t="s">
        <v>617</v>
      </c>
      <c r="K865" s="5"/>
      <c r="L865" s="5"/>
      <c r="M865" s="5"/>
      <c r="N865" s="5"/>
      <c r="O865" s="5"/>
      <c r="P865" s="5"/>
      <c r="Q865" s="5"/>
      <c r="R865" s="5"/>
      <c r="S865" s="5"/>
      <c r="T865" s="5"/>
      <c r="U865" s="5"/>
      <c r="V865" s="46"/>
      <c r="W865" s="1551">
        <v>200000</v>
      </c>
      <c r="X865" s="1552"/>
      <c r="Y865" s="1552"/>
      <c r="Z865" s="1552"/>
      <c r="AA865" s="1552"/>
      <c r="AB865" s="1552"/>
      <c r="AC865" s="1553"/>
      <c r="AD865" s="528"/>
      <c r="AZ865" s="34"/>
      <c r="BA865" s="34"/>
      <c r="BB865" s="34"/>
      <c r="BC865" s="34"/>
    </row>
    <row r="866" spans="3:55" ht="12.95" customHeight="1">
      <c r="C866" s="2" t="s">
        <v>345</v>
      </c>
      <c r="J866" s="121" t="s">
        <v>1642</v>
      </c>
      <c r="K866" s="5"/>
      <c r="L866" s="5"/>
      <c r="M866" s="5"/>
      <c r="N866" s="5"/>
      <c r="O866" s="5"/>
      <c r="P866" s="5"/>
      <c r="Q866" s="5"/>
      <c r="R866" s="5"/>
      <c r="S866" s="5"/>
      <c r="T866" s="1582">
        <v>5</v>
      </c>
      <c r="U866" s="1511"/>
      <c r="V866" s="1583"/>
      <c r="W866" s="870"/>
      <c r="X866" s="871"/>
      <c r="Y866" s="871"/>
      <c r="Z866" s="871"/>
      <c r="AA866" s="871"/>
      <c r="AB866" s="871"/>
      <c r="AC866" s="872"/>
      <c r="AD866" s="528"/>
      <c r="AZ866" s="34"/>
      <c r="BA866" s="34"/>
      <c r="BB866" s="34"/>
      <c r="BC866" s="34"/>
    </row>
    <row r="867" spans="3:55" ht="12.95" customHeight="1">
      <c r="C867" s="2"/>
      <c r="J867" s="45" t="s">
        <v>616</v>
      </c>
      <c r="K867" s="5"/>
      <c r="L867" s="5"/>
      <c r="M867" s="5"/>
      <c r="N867" s="5"/>
      <c r="O867" s="5"/>
      <c r="P867" s="5"/>
      <c r="Q867" s="5"/>
      <c r="R867" s="5"/>
      <c r="S867" s="5"/>
      <c r="T867" s="5"/>
      <c r="U867" s="5"/>
      <c r="V867" s="46"/>
      <c r="W867" s="1551">
        <v>140000</v>
      </c>
      <c r="X867" s="1552"/>
      <c r="Y867" s="1552"/>
      <c r="Z867" s="1552"/>
      <c r="AA867" s="1552"/>
      <c r="AB867" s="1552"/>
      <c r="AC867" s="1553"/>
      <c r="AD867" s="533"/>
      <c r="AZ867" s="34"/>
      <c r="BA867" s="34"/>
      <c r="BB867" s="34"/>
      <c r="BC867" s="34"/>
    </row>
    <row r="868" spans="3:55" ht="12.95" customHeight="1">
      <c r="C868" s="2"/>
      <c r="J868" s="121" t="s">
        <v>1643</v>
      </c>
      <c r="K868" s="5"/>
      <c r="L868" s="5"/>
      <c r="M868" s="5"/>
      <c r="N868" s="5"/>
      <c r="O868" s="5"/>
      <c r="P868" s="5"/>
      <c r="Q868" s="5"/>
      <c r="R868" s="5"/>
      <c r="S868" s="5"/>
      <c r="T868" s="1582">
        <v>3</v>
      </c>
      <c r="U868" s="1511"/>
      <c r="V868" s="1583"/>
      <c r="W868" s="870"/>
      <c r="X868" s="871"/>
      <c r="Y868" s="871"/>
      <c r="Z868" s="871"/>
      <c r="AA868" s="871"/>
      <c r="AB868" s="871"/>
      <c r="AC868" s="872"/>
      <c r="AD868" s="533"/>
      <c r="AZ868" s="34"/>
      <c r="BA868" s="34"/>
      <c r="BB868" s="34"/>
      <c r="BC868" s="34"/>
    </row>
    <row r="869" spans="3:55" ht="12.95" customHeight="1">
      <c r="J869" s="45" t="s">
        <v>169</v>
      </c>
      <c r="K869" s="5"/>
      <c r="L869" s="5"/>
      <c r="M869" s="1554" t="s">
        <v>2654</v>
      </c>
      <c r="N869" s="1555"/>
      <c r="O869" s="1555"/>
      <c r="P869" s="1555"/>
      <c r="Q869" s="1555"/>
      <c r="R869" s="1555"/>
      <c r="S869" s="1555"/>
      <c r="T869" s="1555"/>
      <c r="U869" s="1555"/>
      <c r="V869" s="1556"/>
      <c r="W869" s="1551">
        <v>140000</v>
      </c>
      <c r="X869" s="1552"/>
      <c r="Y869" s="1552"/>
      <c r="Z869" s="1552"/>
      <c r="AA869" s="1552"/>
      <c r="AB869" s="1552"/>
      <c r="AC869" s="1553"/>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562">
        <f>SUM(W865:W869)</f>
        <v>480000</v>
      </c>
      <c r="X870" s="1563"/>
      <c r="Y870" s="1563"/>
      <c r="Z870" s="1563"/>
      <c r="AA870" s="1563"/>
      <c r="AB870" s="1563"/>
      <c r="AC870" s="1564"/>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551">
        <v>116880</v>
      </c>
      <c r="X872" s="1552"/>
      <c r="Y872" s="1552"/>
      <c r="Z872" s="1552"/>
      <c r="AA872" s="1552"/>
      <c r="AB872" s="1552"/>
      <c r="AC872" s="1553"/>
      <c r="AU872" s="14"/>
      <c r="AZ872" s="34"/>
      <c r="BA872" s="34"/>
      <c r="BB872" s="34"/>
      <c r="BC872" s="34"/>
    </row>
    <row r="873" spans="3:55" ht="12.95" customHeight="1">
      <c r="J873" s="512"/>
      <c r="AU873" s="14"/>
      <c r="AZ873" s="34"/>
      <c r="BA873" s="34"/>
      <c r="BB873" s="34"/>
      <c r="BC873" s="34"/>
    </row>
    <row r="874" spans="3:55" ht="12.95" customHeight="1">
      <c r="C874" s="2" t="s">
        <v>388</v>
      </c>
      <c r="J874" s="45" t="s">
        <v>615</v>
      </c>
      <c r="K874" s="5"/>
      <c r="L874" s="5"/>
      <c r="M874" s="5"/>
      <c r="N874" s="5"/>
      <c r="O874" s="5"/>
      <c r="P874" s="5"/>
      <c r="Q874" s="5"/>
      <c r="R874" s="5"/>
      <c r="S874" s="5"/>
      <c r="T874" s="5"/>
      <c r="U874" s="5"/>
      <c r="V874" s="46"/>
      <c r="W874" s="1545">
        <v>36000</v>
      </c>
      <c r="X874" s="1545"/>
      <c r="Y874" s="1545"/>
      <c r="Z874" s="1545"/>
      <c r="AA874" s="1545"/>
      <c r="AB874" s="1545"/>
      <c r="AC874" s="1545"/>
      <c r="AU874" s="14"/>
      <c r="AZ874" s="34"/>
      <c r="BA874" s="34"/>
      <c r="BB874" s="34"/>
      <c r="BC874" s="34"/>
    </row>
    <row r="875" spans="3:55" ht="12.95" customHeight="1">
      <c r="J875" s="45" t="s">
        <v>520</v>
      </c>
      <c r="K875" s="5"/>
      <c r="L875" s="5"/>
      <c r="M875" s="5"/>
      <c r="N875" s="5"/>
      <c r="O875" s="5"/>
      <c r="P875" s="5"/>
      <c r="Q875" s="5"/>
      <c r="R875" s="5"/>
      <c r="S875" s="5"/>
      <c r="T875" s="5"/>
      <c r="U875" s="5"/>
      <c r="V875" s="46"/>
      <c r="W875" s="1545">
        <v>54000</v>
      </c>
      <c r="X875" s="1545"/>
      <c r="Y875" s="1545"/>
      <c r="Z875" s="1545"/>
      <c r="AA875" s="1545"/>
      <c r="AB875" s="1545"/>
      <c r="AC875" s="1545"/>
      <c r="AU875" s="4"/>
      <c r="AZ875" s="34"/>
      <c r="BA875" s="34"/>
      <c r="BB875" s="34"/>
      <c r="BC875" s="34"/>
    </row>
    <row r="876" spans="3:55" ht="12.95" customHeight="1">
      <c r="J876" s="45" t="s">
        <v>519</v>
      </c>
      <c r="K876" s="5"/>
      <c r="L876" s="5"/>
      <c r="M876" s="5"/>
      <c r="N876" s="5"/>
      <c r="O876" s="5"/>
      <c r="P876" s="5"/>
      <c r="Q876" s="5"/>
      <c r="R876" s="5"/>
      <c r="S876" s="5"/>
      <c r="T876" s="5"/>
      <c r="U876" s="5"/>
      <c r="V876" s="46"/>
      <c r="W876" s="1545">
        <v>36000</v>
      </c>
      <c r="X876" s="1545"/>
      <c r="Y876" s="1545"/>
      <c r="Z876" s="1545"/>
      <c r="AA876" s="1545"/>
      <c r="AB876" s="1545"/>
      <c r="AC876" s="1545"/>
      <c r="AU876" s="4"/>
      <c r="AZ876" s="34"/>
      <c r="BA876" s="34"/>
      <c r="BB876" s="34"/>
      <c r="BC876" s="34"/>
    </row>
    <row r="877" spans="3:55" ht="12.95" customHeight="1">
      <c r="J877" s="45" t="s">
        <v>518</v>
      </c>
      <c r="K877" s="5"/>
      <c r="L877" s="5"/>
      <c r="M877" s="5"/>
      <c r="N877" s="5"/>
      <c r="O877" s="5"/>
      <c r="P877" s="5"/>
      <c r="Q877" s="5"/>
      <c r="R877" s="5"/>
      <c r="S877" s="5"/>
      <c r="T877" s="5"/>
      <c r="U877" s="5"/>
      <c r="V877" s="46"/>
      <c r="W877" s="1545">
        <v>12000</v>
      </c>
      <c r="X877" s="1545"/>
      <c r="Y877" s="1545"/>
      <c r="Z877" s="1545"/>
      <c r="AA877" s="1545"/>
      <c r="AB877" s="1545"/>
      <c r="AC877" s="1545"/>
      <c r="AU877" s="4"/>
      <c r="AZ877" s="34"/>
      <c r="BA877" s="34"/>
      <c r="BB877" s="34"/>
      <c r="BC877" s="34"/>
    </row>
    <row r="878" spans="3:55" ht="12.95" customHeight="1">
      <c r="J878" s="45" t="s">
        <v>517</v>
      </c>
      <c r="K878" s="5"/>
      <c r="L878" s="5"/>
      <c r="M878" s="5"/>
      <c r="N878" s="5"/>
      <c r="O878" s="5"/>
      <c r="P878" s="5"/>
      <c r="Q878" s="5"/>
      <c r="R878" s="5"/>
      <c r="S878" s="5"/>
      <c r="T878" s="5"/>
      <c r="U878" s="5"/>
      <c r="V878" s="46"/>
      <c r="W878" s="1545">
        <f>200*240</f>
        <v>48000</v>
      </c>
      <c r="X878" s="1545"/>
      <c r="Y878" s="1545"/>
      <c r="Z878" s="1545"/>
      <c r="AA878" s="1545"/>
      <c r="AB878" s="1545"/>
      <c r="AC878" s="1545"/>
      <c r="AU878" s="4"/>
      <c r="AZ878" s="34"/>
      <c r="BA878" s="34"/>
      <c r="BB878" s="34"/>
      <c r="BC878" s="34"/>
    </row>
    <row r="879" spans="3:55" ht="12.95" customHeight="1">
      <c r="J879" s="45" t="s">
        <v>516</v>
      </c>
      <c r="K879" s="5"/>
      <c r="L879" s="5"/>
      <c r="M879" s="5"/>
      <c r="N879" s="5"/>
      <c r="O879" s="5"/>
      <c r="P879" s="5"/>
      <c r="Q879" s="5"/>
      <c r="R879" s="5"/>
      <c r="S879" s="5"/>
      <c r="T879" s="5"/>
      <c r="U879" s="5"/>
      <c r="V879" s="46"/>
      <c r="W879" s="1545"/>
      <c r="X879" s="1545"/>
      <c r="Y879" s="1545"/>
      <c r="Z879" s="1545"/>
      <c r="AA879" s="1545"/>
      <c r="AB879" s="1545"/>
      <c r="AC879" s="1545"/>
      <c r="AU879" s="4"/>
      <c r="AZ879" s="34"/>
      <c r="BA879" s="34"/>
      <c r="BB879" s="34"/>
      <c r="BC879" s="34"/>
    </row>
    <row r="880" spans="3:55" ht="12.95" customHeight="1">
      <c r="J880" s="45" t="s">
        <v>169</v>
      </c>
      <c r="K880" s="5"/>
      <c r="L880" s="5"/>
      <c r="M880" s="1554" t="s">
        <v>333</v>
      </c>
      <c r="N880" s="1555"/>
      <c r="O880" s="1555"/>
      <c r="P880" s="1555"/>
      <c r="Q880" s="1555"/>
      <c r="R880" s="1555"/>
      <c r="S880" s="1555"/>
      <c r="T880" s="1555"/>
      <c r="U880" s="1555"/>
      <c r="V880" s="1556"/>
      <c r="W880" s="1545"/>
      <c r="X880" s="1545"/>
      <c r="Y880" s="1545"/>
      <c r="Z880" s="1545"/>
      <c r="AA880" s="1545"/>
      <c r="AB880" s="1545"/>
      <c r="AC880" s="1545"/>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524">
        <f>SUM(W874:W880)</f>
        <v>186000</v>
      </c>
      <c r="X881" s="1524"/>
      <c r="Y881" s="1524"/>
      <c r="Z881" s="1524"/>
      <c r="AA881" s="1524"/>
      <c r="AB881" s="1524"/>
      <c r="AC881" s="1524"/>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169</v>
      </c>
      <c r="K883" s="5"/>
      <c r="L883" s="5"/>
      <c r="M883" s="1554" t="s">
        <v>333</v>
      </c>
      <c r="N883" s="1555"/>
      <c r="O883" s="1555"/>
      <c r="P883" s="1555"/>
      <c r="Q883" s="1555"/>
      <c r="R883" s="1555"/>
      <c r="S883" s="1555"/>
      <c r="T883" s="1555"/>
      <c r="U883" s="1555"/>
      <c r="V883" s="1556"/>
      <c r="W883" s="1416"/>
      <c r="X883" s="1273"/>
      <c r="Y883" s="1273"/>
      <c r="Z883" s="1273"/>
      <c r="AA883" s="1273"/>
      <c r="AB883" s="1273"/>
      <c r="AC883" s="1274"/>
      <c r="AD883" s="533"/>
      <c r="AV883" s="14"/>
      <c r="AW883" s="14"/>
      <c r="AX883" s="14"/>
      <c r="AY883" s="14"/>
      <c r="AZ883" s="34"/>
      <c r="BA883" s="34"/>
      <c r="BB883" s="34"/>
      <c r="BC883" s="34"/>
    </row>
    <row r="884" spans="3:55" ht="12.95" customHeight="1">
      <c r="C884" s="2" t="s">
        <v>1242</v>
      </c>
      <c r="J884" s="45" t="s">
        <v>169</v>
      </c>
      <c r="K884" s="5"/>
      <c r="L884" s="5"/>
      <c r="M884" s="1554" t="s">
        <v>333</v>
      </c>
      <c r="N884" s="1555"/>
      <c r="O884" s="1555"/>
      <c r="P884" s="1555"/>
      <c r="Q884" s="1555"/>
      <c r="R884" s="1555"/>
      <c r="S884" s="1555"/>
      <c r="T884" s="1555"/>
      <c r="U884" s="1555"/>
      <c r="V884" s="1556"/>
      <c r="W884" s="1416"/>
      <c r="X884" s="1273"/>
      <c r="Y884" s="1273"/>
      <c r="Z884" s="1273"/>
      <c r="AA884" s="1273"/>
      <c r="AB884" s="1273"/>
      <c r="AC884" s="1274"/>
      <c r="AD884" s="533"/>
      <c r="AV884" s="14"/>
      <c r="AW884" s="14"/>
      <c r="AX884" s="14"/>
      <c r="AY884" s="14"/>
      <c r="AZ884" s="34"/>
      <c r="BA884" s="34"/>
      <c r="BB884" s="34"/>
      <c r="BC884" s="34"/>
    </row>
    <row r="885" spans="3:55" ht="12.95" customHeight="1">
      <c r="J885" s="45" t="s">
        <v>169</v>
      </c>
      <c r="K885" s="5"/>
      <c r="L885" s="5"/>
      <c r="M885" s="1554" t="s">
        <v>333</v>
      </c>
      <c r="N885" s="1555"/>
      <c r="O885" s="1555"/>
      <c r="P885" s="1555"/>
      <c r="Q885" s="1555"/>
      <c r="R885" s="1555"/>
      <c r="S885" s="1555"/>
      <c r="T885" s="1555"/>
      <c r="U885" s="1555"/>
      <c r="V885" s="1556"/>
      <c r="W885" s="1416"/>
      <c r="X885" s="1273"/>
      <c r="Y885" s="1273"/>
      <c r="Z885" s="1273"/>
      <c r="AA885" s="1273"/>
      <c r="AB885" s="1273"/>
      <c r="AC885" s="1274"/>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554" t="s">
        <v>333</v>
      </c>
      <c r="N886" s="1555"/>
      <c r="O886" s="1555"/>
      <c r="P886" s="1555"/>
      <c r="Q886" s="1555"/>
      <c r="R886" s="1555"/>
      <c r="S886" s="1555"/>
      <c r="T886" s="1555"/>
      <c r="U886" s="1555"/>
      <c r="V886" s="1556"/>
      <c r="W886" s="1416"/>
      <c r="X886" s="1273"/>
      <c r="Y886" s="1273"/>
      <c r="Z886" s="1273"/>
      <c r="AA886" s="1273"/>
      <c r="AB886" s="1273"/>
      <c r="AC886" s="1274"/>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554" t="s">
        <v>333</v>
      </c>
      <c r="N887" s="1555"/>
      <c r="O887" s="1555"/>
      <c r="P887" s="1555"/>
      <c r="Q887" s="1555"/>
      <c r="R887" s="1555"/>
      <c r="S887" s="1555"/>
      <c r="T887" s="1555"/>
      <c r="U887" s="1555"/>
      <c r="V887" s="1556"/>
      <c r="W887" s="1416"/>
      <c r="X887" s="1273"/>
      <c r="Y887" s="1273"/>
      <c r="Z887" s="1273"/>
      <c r="AA887" s="1273"/>
      <c r="AB887" s="1273"/>
      <c r="AC887" s="1274"/>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413">
        <f>SUM(W883:W887)</f>
        <v>0</v>
      </c>
      <c r="X888" s="1414"/>
      <c r="Y888" s="1414"/>
      <c r="Z888" s="1414"/>
      <c r="AA888" s="1414"/>
      <c r="AB888" s="1414"/>
      <c r="AC888" s="1415"/>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14">
        <f>W855+W863+W870+W872+W881+W888+W857</f>
        <v>1277663.8979100001</v>
      </c>
      <c r="AD892" s="1414"/>
      <c r="AE892" s="1414"/>
      <c r="AF892" s="1414"/>
      <c r="AG892" s="1414"/>
      <c r="AH892" s="1415"/>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509</v>
      </c>
      <c r="AC893" s="1577">
        <f>O805+O785+G761</f>
        <v>240</v>
      </c>
      <c r="AD893" s="1577"/>
      <c r="AE893" s="1577"/>
      <c r="AF893" s="1577"/>
      <c r="AG893" s="1577"/>
      <c r="AH893" s="1578"/>
      <c r="AL893" s="4"/>
      <c r="AM893" s="4"/>
      <c r="AN893" s="4"/>
      <c r="AO893" s="4"/>
      <c r="AP893" s="4"/>
      <c r="AQ893" s="4"/>
      <c r="AR893" s="4"/>
      <c r="AS893" s="4"/>
      <c r="AT893" s="4"/>
      <c r="AZ893" s="34"/>
      <c r="BA893" s="34"/>
      <c r="BB893" s="34"/>
      <c r="BC893" s="34"/>
    </row>
    <row r="894" spans="3:55" ht="12.95" customHeight="1">
      <c r="C894" s="41"/>
      <c r="D894" s="42"/>
      <c r="E894" s="1574" t="s">
        <v>32</v>
      </c>
      <c r="F894" s="1574"/>
      <c r="G894" s="1574"/>
      <c r="H894" s="1574"/>
      <c r="I894" s="1574"/>
      <c r="J894" s="1574"/>
      <c r="K894" s="1574"/>
      <c r="L894" s="1574"/>
      <c r="M894" s="1574"/>
      <c r="N894" s="1574"/>
      <c r="O894" s="1574"/>
      <c r="P894" s="1574"/>
      <c r="Q894" s="1574"/>
      <c r="R894" s="1574"/>
      <c r="S894" s="1574"/>
      <c r="T894" s="1574"/>
      <c r="U894" s="1574"/>
      <c r="V894" s="1574"/>
      <c r="W894" s="1574"/>
      <c r="X894" s="1574"/>
      <c r="Y894" s="1574"/>
      <c r="Z894" s="1574"/>
      <c r="AA894" s="1574"/>
      <c r="AB894" s="1575"/>
      <c r="AC894" s="1524">
        <f>IF(ISERROR((ROUNDDOWN(AC892/AC893,0))),0,(ROUNDDOWN(AC892/AC893,0)))</f>
        <v>5323</v>
      </c>
      <c r="AD894" s="1524"/>
      <c r="AE894" s="1524"/>
      <c r="AF894" s="1524"/>
      <c r="AG894" s="1524"/>
      <c r="AH894" s="1524"/>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549">
        <v>1031642</v>
      </c>
      <c r="AD895" s="1550"/>
      <c r="AE895" s="1550"/>
      <c r="AF895" s="1550"/>
      <c r="AG895" s="1550"/>
      <c r="AH895" s="1550"/>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274"/>
      <c r="AD896" s="1545"/>
      <c r="AE896" s="1545"/>
      <c r="AF896" s="1545"/>
      <c r="AG896" s="1545"/>
      <c r="AH896" s="1545"/>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508</v>
      </c>
      <c r="AC897" s="1273">
        <v>30000</v>
      </c>
      <c r="AD897" s="1273"/>
      <c r="AE897" s="1273"/>
      <c r="AF897" s="1273"/>
      <c r="AG897" s="1273"/>
      <c r="AH897" s="1274"/>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3">
        <v>72000</v>
      </c>
      <c r="AD898" s="1273"/>
      <c r="AE898" s="1273"/>
      <c r="AF898" s="1273"/>
      <c r="AG898" s="1273"/>
      <c r="AH898" s="1274"/>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370">
        <v>16900</v>
      </c>
      <c r="AD899" s="1371"/>
      <c r="AE899" s="1371"/>
      <c r="AF899" s="1371"/>
      <c r="AG899" s="1371"/>
      <c r="AH899" s="1372"/>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3">
        <v>0</v>
      </c>
      <c r="AD900" s="1273"/>
      <c r="AE900" s="1273"/>
      <c r="AF900" s="1273"/>
      <c r="AG900" s="1273"/>
      <c r="AH900" s="1274"/>
      <c r="AZ900" s="34"/>
      <c r="BA900" s="34"/>
      <c r="BB900" s="34"/>
      <c r="BC900" s="34"/>
    </row>
    <row r="901" spans="1:58" ht="12.95" hidden="1" customHeight="1">
      <c r="C901" s="1399" t="s">
        <v>2184</v>
      </c>
      <c r="D901" s="1400"/>
      <c r="E901" s="1400"/>
      <c r="F901" s="1400"/>
      <c r="G901" s="1400"/>
      <c r="H901" s="1400"/>
      <c r="I901" s="1400"/>
      <c r="J901" s="1400"/>
      <c r="K901" s="1400"/>
      <c r="L901" s="1400"/>
      <c r="M901" s="1400"/>
      <c r="N901" s="1400"/>
      <c r="O901" s="1400"/>
      <c r="P901" s="1400"/>
      <c r="Q901" s="1400"/>
      <c r="R901" s="1400"/>
      <c r="S901" s="1400"/>
      <c r="T901" s="1400"/>
      <c r="U901" s="1400"/>
      <c r="V901" s="1400"/>
      <c r="W901" s="1400"/>
      <c r="X901" s="1400"/>
      <c r="Y901" s="1400"/>
      <c r="Z901" s="1400"/>
      <c r="AA901" s="1400"/>
      <c r="AB901" s="1402"/>
      <c r="AC901" s="1273"/>
      <c r="AD901" s="1273"/>
      <c r="AE901" s="1273"/>
      <c r="AF901" s="1273"/>
      <c r="AG901" s="1273"/>
      <c r="AH901" s="1274"/>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273">
        <v>130953.31200000002</v>
      </c>
      <c r="AD902" s="1273"/>
      <c r="AE902" s="1273"/>
      <c r="AF902" s="1273"/>
      <c r="AG902" s="1273"/>
      <c r="AH902" s="1274"/>
      <c r="AZ902" s="34"/>
      <c r="BA902" s="34"/>
      <c r="BB902" s="34"/>
      <c r="BC902" s="34"/>
    </row>
    <row r="903" spans="1:58" ht="12.95" customHeight="1">
      <c r="C903" s="1626" t="s">
        <v>954</v>
      </c>
      <c r="D903" s="1627"/>
      <c r="E903" s="1627"/>
      <c r="F903" s="1627"/>
      <c r="G903" s="1627"/>
      <c r="H903" s="1627"/>
      <c r="I903" s="1627"/>
      <c r="J903" s="1627"/>
      <c r="K903" s="1627"/>
      <c r="L903" s="1627"/>
      <c r="M903" s="1627"/>
      <c r="N903" s="1627"/>
      <c r="O903" s="1627"/>
      <c r="P903" s="1627"/>
      <c r="Q903" s="1627"/>
      <c r="R903" s="1627"/>
      <c r="S903" s="1627"/>
      <c r="T903" s="1627"/>
      <c r="U903" s="1627"/>
      <c r="V903" s="1627"/>
      <c r="W903" s="1627"/>
      <c r="X903" s="1627"/>
      <c r="Y903" s="1627"/>
      <c r="Z903" s="1627"/>
      <c r="AA903" s="1627"/>
      <c r="AB903" s="1628"/>
      <c r="AC903" s="1545"/>
      <c r="AD903" s="1545"/>
      <c r="AE903" s="1545"/>
      <c r="AF903" s="1545"/>
      <c r="AG903" s="1545"/>
      <c r="AH903" s="1545"/>
      <c r="AZ903" s="34"/>
      <c r="BA903" s="34"/>
      <c r="BB903" s="34"/>
      <c r="BC903" s="34"/>
    </row>
    <row r="904" spans="1:58" ht="12.95" customHeight="1">
      <c r="C904" s="1626" t="s">
        <v>954</v>
      </c>
      <c r="D904" s="1627"/>
      <c r="E904" s="1627"/>
      <c r="F904" s="1627"/>
      <c r="G904" s="1627"/>
      <c r="H904" s="1627"/>
      <c r="I904" s="1627"/>
      <c r="J904" s="1627"/>
      <c r="K904" s="1627"/>
      <c r="L904" s="1627"/>
      <c r="M904" s="1627"/>
      <c r="N904" s="1627"/>
      <c r="O904" s="1627"/>
      <c r="P904" s="1627"/>
      <c r="Q904" s="1627"/>
      <c r="R904" s="1627"/>
      <c r="S904" s="1627"/>
      <c r="T904" s="1627"/>
      <c r="U904" s="1627"/>
      <c r="V904" s="1627"/>
      <c r="W904" s="1627"/>
      <c r="X904" s="1627"/>
      <c r="Y904" s="1627"/>
      <c r="Z904" s="1627"/>
      <c r="AA904" s="1627"/>
      <c r="AB904" s="1628"/>
      <c r="AC904" s="1545"/>
      <c r="AD904" s="1545"/>
      <c r="AE904" s="1545"/>
      <c r="AF904" s="1545"/>
      <c r="AG904" s="1545"/>
      <c r="AH904" s="1545"/>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611</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16"/>
      <c r="AA908" s="1273"/>
      <c r="AB908" s="1273"/>
      <c r="AC908" s="1273"/>
      <c r="AD908" s="1273"/>
      <c r="AE908" s="1274"/>
      <c r="AF908" s="533"/>
      <c r="AZ908" s="34"/>
      <c r="BB908" s="30"/>
      <c r="BC908" s="812"/>
      <c r="BD908" s="1570"/>
      <c r="BE908" s="1570"/>
      <c r="BF908" s="14"/>
    </row>
    <row r="909" spans="1:58" ht="12.95" customHeight="1">
      <c r="H909" s="121" t="s">
        <v>238</v>
      </c>
      <c r="I909" s="5"/>
      <c r="J909" s="5"/>
      <c r="K909" s="5"/>
      <c r="L909" s="5"/>
      <c r="M909" s="5"/>
      <c r="N909" s="5"/>
      <c r="O909" s="5"/>
      <c r="P909" s="5"/>
      <c r="Q909" s="5"/>
      <c r="R909" s="5"/>
      <c r="S909" s="5"/>
      <c r="T909" s="5"/>
      <c r="U909" s="5"/>
      <c r="V909" s="5"/>
      <c r="W909" s="5"/>
      <c r="X909" s="5"/>
      <c r="Y909" s="5"/>
      <c r="Z909" s="1416"/>
      <c r="AA909" s="1273"/>
      <c r="AB909" s="1273"/>
      <c r="AC909" s="1273"/>
      <c r="AD909" s="1273"/>
      <c r="AE909" s="1274"/>
      <c r="AZ909" s="34"/>
      <c r="BB909" s="30"/>
      <c r="BC909" s="812"/>
      <c r="BD909" s="1570"/>
      <c r="BE909" s="1570"/>
      <c r="BF909" s="14"/>
    </row>
    <row r="910" spans="1:58" ht="12.95" customHeight="1">
      <c r="H910" s="121" t="s">
        <v>239</v>
      </c>
      <c r="I910" s="5"/>
      <c r="J910" s="5"/>
      <c r="K910" s="5"/>
      <c r="L910" s="5"/>
      <c r="M910" s="5"/>
      <c r="N910" s="5"/>
      <c r="O910" s="5"/>
      <c r="P910" s="5"/>
      <c r="Q910" s="5"/>
      <c r="R910" s="5"/>
      <c r="S910" s="5"/>
      <c r="T910" s="5"/>
      <c r="U910" s="5"/>
      <c r="V910" s="5"/>
      <c r="W910" s="5"/>
      <c r="X910" s="5"/>
      <c r="Y910" s="5"/>
      <c r="Z910" s="1416"/>
      <c r="AA910" s="1273"/>
      <c r="AB910" s="1273"/>
      <c r="AC910" s="1273"/>
      <c r="AD910" s="1273"/>
      <c r="AE910" s="1274"/>
      <c r="AZ910" s="34"/>
      <c r="BB910" s="30"/>
      <c r="BC910" s="812"/>
      <c r="BD910" s="1571"/>
      <c r="BE910" s="1571"/>
      <c r="BF910" s="14"/>
    </row>
    <row r="911" spans="1:58" ht="12.95" customHeight="1">
      <c r="H911" s="45"/>
      <c r="I911" s="5"/>
      <c r="J911" s="5"/>
      <c r="K911" s="5"/>
      <c r="L911" s="5"/>
      <c r="M911" s="5"/>
      <c r="N911" s="5"/>
      <c r="O911" s="5"/>
      <c r="P911" s="5"/>
      <c r="Q911" s="5"/>
      <c r="R911" s="5"/>
      <c r="S911" s="5"/>
      <c r="T911" s="5"/>
      <c r="U911" s="5"/>
      <c r="V911" s="5"/>
      <c r="W911" s="5"/>
      <c r="X911" s="5"/>
      <c r="Y911" s="181" t="s">
        <v>240</v>
      </c>
      <c r="Z911" s="1413">
        <f>Z908-(Z909+Z910)</f>
        <v>0</v>
      </c>
      <c r="AA911" s="1414"/>
      <c r="AB911" s="1414"/>
      <c r="AC911" s="1414"/>
      <c r="AD911" s="1414"/>
      <c r="AE911" s="1415"/>
      <c r="AZ911" s="34"/>
      <c r="BB911" s="30"/>
      <c r="BC911" s="812"/>
      <c r="BD911" s="1571"/>
      <c r="BE911" s="1571"/>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71"/>
      <c r="BE912" s="1571"/>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70"/>
      <c r="BE913" s="1571"/>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73"/>
      <c r="BE914" s="1573"/>
      <c r="BF914" s="1573"/>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72"/>
      <c r="BE915" s="1572"/>
      <c r="BF915" s="1572"/>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71"/>
      <c r="BE916" s="1571"/>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70"/>
      <c r="BE917" s="1571"/>
      <c r="BF917" s="14"/>
    </row>
    <row r="918" spans="1:58" ht="12.95" customHeight="1">
      <c r="AZ918" s="34"/>
      <c r="BB918" s="30"/>
      <c r="BC918" s="812"/>
    </row>
    <row r="919" spans="1:58" ht="12.95" customHeight="1">
      <c r="A919" s="1456" t="s">
        <v>96</v>
      </c>
      <c r="B919" s="1456"/>
      <c r="C919" s="1456"/>
      <c r="D919" s="1456"/>
      <c r="E919" s="1456"/>
      <c r="F919" s="1456"/>
      <c r="G919" s="1456"/>
      <c r="H919" s="1456"/>
      <c r="I919" s="1456"/>
      <c r="J919" s="1456"/>
      <c r="K919" s="1456"/>
      <c r="L919" s="1456"/>
      <c r="M919" s="1456"/>
      <c r="N919" s="1456"/>
      <c r="O919" s="1456"/>
      <c r="P919" s="1456"/>
      <c r="Q919" s="1456"/>
      <c r="R919" s="1456"/>
      <c r="S919" s="1456"/>
      <c r="T919" s="1456"/>
      <c r="U919" s="1456"/>
      <c r="V919" s="1456"/>
      <c r="W919" s="1456"/>
      <c r="X919" s="1456"/>
      <c r="Y919" s="1456"/>
      <c r="Z919" s="1456"/>
      <c r="AA919" s="1456"/>
      <c r="AB919" s="1456"/>
      <c r="AC919" s="1456"/>
      <c r="AD919" s="1456"/>
      <c r="AE919" s="1456"/>
      <c r="AF919" s="1456"/>
      <c r="AG919" s="1456"/>
      <c r="AH919" s="1456"/>
      <c r="AI919" s="1456"/>
      <c r="AJ919" s="1456"/>
      <c r="AK919" s="1456"/>
      <c r="AL919" s="1456"/>
      <c r="AM919" s="1456"/>
      <c r="AN919" s="1456"/>
      <c r="AO919" s="1456"/>
      <c r="AP919" s="1456"/>
      <c r="AQ919" s="1456"/>
      <c r="AR919" s="1456"/>
      <c r="AS919" s="1456"/>
      <c r="AT919" s="1456"/>
      <c r="AZ919" s="34"/>
      <c r="BA919" s="34"/>
      <c r="BB919" s="30"/>
      <c r="BC919" s="30"/>
      <c r="BD919" s="1570"/>
      <c r="BE919" s="1571"/>
      <c r="BF919" s="907"/>
    </row>
    <row r="920" spans="1:58" ht="12.95" customHeight="1">
      <c r="A920" s="1456"/>
      <c r="B920" s="1456"/>
      <c r="C920" s="1456"/>
      <c r="D920" s="1456"/>
      <c r="E920" s="1456"/>
      <c r="F920" s="1456"/>
      <c r="G920" s="1456"/>
      <c r="H920" s="1456"/>
      <c r="I920" s="1456"/>
      <c r="J920" s="1456"/>
      <c r="K920" s="1456"/>
      <c r="L920" s="1456"/>
      <c r="M920" s="1456"/>
      <c r="N920" s="1456"/>
      <c r="O920" s="1456"/>
      <c r="P920" s="1456"/>
      <c r="Q920" s="1456"/>
      <c r="R920" s="1456"/>
      <c r="S920" s="1456"/>
      <c r="T920" s="1456"/>
      <c r="U920" s="1456"/>
      <c r="V920" s="1456"/>
      <c r="W920" s="1456"/>
      <c r="X920" s="1456"/>
      <c r="Y920" s="1456"/>
      <c r="Z920" s="1456"/>
      <c r="AA920" s="1456"/>
      <c r="AB920" s="1456"/>
      <c r="AC920" s="1456"/>
      <c r="AD920" s="1456"/>
      <c r="AE920" s="1456"/>
      <c r="AF920" s="1456"/>
      <c r="AG920" s="1456"/>
      <c r="AH920" s="1456"/>
      <c r="AI920" s="1456"/>
      <c r="AJ920" s="1456"/>
      <c r="AK920" s="1456"/>
      <c r="AL920" s="1456"/>
      <c r="AM920" s="1456"/>
      <c r="AN920" s="1456"/>
      <c r="AO920" s="1456"/>
      <c r="AP920" s="1456"/>
      <c r="AQ920" s="1456"/>
      <c r="AR920" s="1456"/>
      <c r="AS920" s="1456"/>
      <c r="AT920" s="1456"/>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16" t="s">
        <v>790</v>
      </c>
      <c r="G924" s="1617"/>
      <c r="H924" s="1617"/>
      <c r="I924" s="1617"/>
      <c r="J924" s="1617"/>
      <c r="K924" s="1617"/>
      <c r="L924" s="1617"/>
      <c r="M924" s="1617"/>
      <c r="N924" s="1617"/>
      <c r="O924" s="1617"/>
      <c r="P924" s="1617"/>
      <c r="Q924" s="1617"/>
      <c r="R924" s="1617"/>
      <c r="S924" s="1617"/>
      <c r="T924" s="1618"/>
      <c r="U924" s="1706" t="s">
        <v>31</v>
      </c>
      <c r="V924" s="1629"/>
      <c r="W924" s="1629"/>
      <c r="X924" s="1629"/>
      <c r="Y924" s="1629"/>
      <c r="Z924" s="1629"/>
      <c r="AA924" s="43"/>
      <c r="AB924" s="105"/>
      <c r="AC924" s="105"/>
      <c r="AD924" s="105"/>
      <c r="AE924" s="105"/>
      <c r="AF924" s="106"/>
      <c r="AZ924" s="34"/>
      <c r="BA924" s="34"/>
      <c r="BB924" s="34"/>
      <c r="BC924" s="34"/>
    </row>
    <row r="925" spans="1:58" ht="12.95" customHeight="1">
      <c r="B925" s="2"/>
      <c r="F925" s="1657" t="s">
        <v>816</v>
      </c>
      <c r="G925" s="1658"/>
      <c r="H925" s="1658"/>
      <c r="I925" s="1658"/>
      <c r="J925" s="1658"/>
      <c r="K925" s="1658"/>
      <c r="L925" s="1658"/>
      <c r="M925" s="1658"/>
      <c r="N925" s="1658"/>
      <c r="O925" s="1658"/>
      <c r="P925" s="1658"/>
      <c r="Q925" s="1658"/>
      <c r="R925" s="1658"/>
      <c r="S925" s="1658"/>
      <c r="T925" s="1659"/>
      <c r="U925" s="1657"/>
      <c r="V925" s="1658"/>
      <c r="W925" s="1658"/>
      <c r="X925" s="1658"/>
      <c r="Y925" s="1658"/>
      <c r="Z925" s="1658"/>
      <c r="AA925" s="44"/>
      <c r="AB925" s="4"/>
      <c r="AC925" s="4"/>
      <c r="AD925" s="4"/>
      <c r="AE925" s="4"/>
      <c r="AF925" s="107"/>
      <c r="AZ925" s="34"/>
      <c r="BA925" s="34"/>
      <c r="BB925" s="34"/>
      <c r="BC925" s="34"/>
    </row>
    <row r="926" spans="1:58" ht="12.95" customHeight="1">
      <c r="B926" s="2"/>
      <c r="F926" s="1660"/>
      <c r="G926" s="1631"/>
      <c r="H926" s="1631"/>
      <c r="I926" s="1631"/>
      <c r="J926" s="1631"/>
      <c r="K926" s="1631"/>
      <c r="L926" s="1631"/>
      <c r="M926" s="1631"/>
      <c r="N926" s="1631"/>
      <c r="O926" s="1631"/>
      <c r="P926" s="1631"/>
      <c r="Q926" s="1631"/>
      <c r="R926" s="1631"/>
      <c r="S926" s="1631"/>
      <c r="T926" s="1632"/>
      <c r="U926" s="1660"/>
      <c r="V926" s="1631"/>
      <c r="W926" s="1631"/>
      <c r="X926" s="1631"/>
      <c r="Y926" s="1631"/>
      <c r="Z926" s="1631"/>
      <c r="AA926" s="108"/>
      <c r="AB926" s="1346" t="s">
        <v>389</v>
      </c>
      <c r="AC926" s="1346"/>
      <c r="AD926" s="1346"/>
      <c r="AE926" s="1346"/>
      <c r="AF926" s="109"/>
      <c r="AZ926" s="34"/>
      <c r="BA926" s="34"/>
      <c r="BB926" s="34"/>
      <c r="BC926" s="34"/>
    </row>
    <row r="927" spans="1:58" ht="12.95" customHeight="1">
      <c r="B927" s="2"/>
      <c r="F927" s="45" t="s">
        <v>756</v>
      </c>
      <c r="G927" s="48"/>
      <c r="H927" s="48"/>
      <c r="I927" s="48"/>
      <c r="J927" s="48"/>
      <c r="K927" s="48"/>
      <c r="L927" s="48"/>
      <c r="M927" s="48"/>
      <c r="N927" s="48"/>
      <c r="O927" s="48"/>
      <c r="P927" s="48"/>
      <c r="Q927" s="48"/>
      <c r="R927" s="48"/>
      <c r="S927" s="48"/>
      <c r="T927" s="49"/>
      <c r="U927" s="1557" t="s">
        <v>589</v>
      </c>
      <c r="V927" s="1318"/>
      <c r="W927" s="1318"/>
      <c r="X927" s="1318"/>
      <c r="Y927" s="1318"/>
      <c r="Z927" s="1319"/>
      <c r="AA927" s="1543">
        <v>30800000</v>
      </c>
      <c r="AB927" s="1444"/>
      <c r="AC927" s="1444"/>
      <c r="AD927" s="1444"/>
      <c r="AE927" s="1444"/>
      <c r="AF927" s="1544"/>
      <c r="AG927" s="1191" t="str">
        <f>IF(NOT(AA927=AW927),"!","")</f>
        <v/>
      </c>
      <c r="AH927" s="3"/>
      <c r="AW927" s="1391">
        <f>SUMIF($M$562:$M$573,"Loan, Tax-Exempt",$AM$562:$AM$573)</f>
        <v>30800000</v>
      </c>
      <c r="AX927" s="1391"/>
      <c r="AY927" s="1391"/>
      <c r="AZ927" s="3" t="s">
        <v>2535</v>
      </c>
      <c r="BA927" s="34"/>
      <c r="BB927" s="34"/>
      <c r="BC927" s="34"/>
    </row>
    <row r="928" spans="1:58" ht="12.95" customHeight="1">
      <c r="B928" s="2"/>
      <c r="F928" s="66" t="s">
        <v>673</v>
      </c>
      <c r="G928" s="48"/>
      <c r="H928" s="48"/>
      <c r="I928" s="48"/>
      <c r="J928" s="48"/>
      <c r="K928" s="48"/>
      <c r="L928" s="48"/>
      <c r="M928" s="48"/>
      <c r="N928" s="48"/>
      <c r="O928" s="48"/>
      <c r="P928" s="48"/>
      <c r="Q928" s="48"/>
      <c r="R928" s="48"/>
      <c r="S928" s="48"/>
      <c r="T928" s="49"/>
      <c r="U928" s="1557" t="s">
        <v>589</v>
      </c>
      <c r="V928" s="1318"/>
      <c r="W928" s="1318"/>
      <c r="X928" s="1318"/>
      <c r="Y928" s="1318"/>
      <c r="Z928" s="1319"/>
      <c r="AA928" s="1543"/>
      <c r="AB928" s="1444"/>
      <c r="AC928" s="1444"/>
      <c r="AD928" s="1444"/>
      <c r="AE928" s="1444"/>
      <c r="AF928" s="1544"/>
      <c r="AZ928" s="34"/>
      <c r="BA928" s="34"/>
      <c r="BB928" s="34"/>
      <c r="BC928" s="34"/>
    </row>
    <row r="929" spans="6:55" ht="12.95" customHeight="1">
      <c r="F929" s="45" t="s">
        <v>799</v>
      </c>
      <c r="G929" s="5"/>
      <c r="H929" s="5"/>
      <c r="I929" s="5"/>
      <c r="J929" s="5"/>
      <c r="K929" s="5"/>
      <c r="L929" s="5"/>
      <c r="M929" s="5"/>
      <c r="N929" s="5"/>
      <c r="O929" s="5"/>
      <c r="P929" s="5"/>
      <c r="Q929" s="5"/>
      <c r="R929" s="5"/>
      <c r="S929" s="5"/>
      <c r="T929" s="46"/>
      <c r="U929" s="1557" t="s">
        <v>589</v>
      </c>
      <c r="V929" s="1318"/>
      <c r="W929" s="1318"/>
      <c r="X929" s="1318"/>
      <c r="Y929" s="1318"/>
      <c r="Z929" s="1319"/>
      <c r="AA929" s="1543"/>
      <c r="AB929" s="1444"/>
      <c r="AC929" s="1444"/>
      <c r="AD929" s="1444"/>
      <c r="AE929" s="1444"/>
      <c r="AF929" s="1544"/>
      <c r="AZ929" s="34"/>
      <c r="BA929" s="34"/>
      <c r="BB929" s="34"/>
      <c r="BC929" s="34"/>
    </row>
    <row r="930" spans="6:55" ht="12.95" customHeight="1">
      <c r="F930" s="45" t="s">
        <v>676</v>
      </c>
      <c r="G930" s="5"/>
      <c r="H930" s="5"/>
      <c r="I930" s="5"/>
      <c r="J930" s="5"/>
      <c r="K930" s="5"/>
      <c r="L930" s="5"/>
      <c r="M930" s="5"/>
      <c r="N930" s="5"/>
      <c r="O930" s="5"/>
      <c r="P930" s="5"/>
      <c r="Q930" s="5"/>
      <c r="R930" s="5"/>
      <c r="S930" s="5"/>
      <c r="T930" s="46"/>
      <c r="U930" s="1557" t="s">
        <v>589</v>
      </c>
      <c r="V930" s="1318"/>
      <c r="W930" s="1318"/>
      <c r="X930" s="1318"/>
      <c r="Y930" s="1318"/>
      <c r="Z930" s="1319"/>
      <c r="AA930" s="1543"/>
      <c r="AB930" s="1444"/>
      <c r="AC930" s="1444"/>
      <c r="AD930" s="1444"/>
      <c r="AE930" s="1444"/>
      <c r="AF930" s="1544"/>
      <c r="AZ930" s="34"/>
      <c r="BA930" s="34"/>
      <c r="BB930" s="34"/>
      <c r="BC930" s="34"/>
    </row>
    <row r="931" spans="6:55" ht="12.95" customHeight="1">
      <c r="F931" s="66" t="s">
        <v>784</v>
      </c>
      <c r="G931" s="5"/>
      <c r="H931" s="5"/>
      <c r="I931" s="5"/>
      <c r="J931" s="5"/>
      <c r="K931" s="5"/>
      <c r="L931" s="5"/>
      <c r="M931" s="5"/>
      <c r="N931" s="5"/>
      <c r="O931" s="5"/>
      <c r="P931" s="5"/>
      <c r="Q931" s="5"/>
      <c r="R931" s="5"/>
      <c r="S931" s="5"/>
      <c r="T931" s="46"/>
      <c r="U931" s="1557" t="s">
        <v>589</v>
      </c>
      <c r="V931" s="1318"/>
      <c r="W931" s="1318"/>
      <c r="X931" s="1318"/>
      <c r="Y931" s="1318"/>
      <c r="Z931" s="1319"/>
      <c r="AA931" s="1543"/>
      <c r="AB931" s="1444"/>
      <c r="AC931" s="1444"/>
      <c r="AD931" s="1444"/>
      <c r="AE931" s="1444"/>
      <c r="AF931" s="1544"/>
      <c r="AZ931" s="34"/>
      <c r="BA931" s="34"/>
      <c r="BB931" s="34"/>
      <c r="BC931" s="34"/>
    </row>
    <row r="932" spans="6:55" ht="12.95" customHeight="1">
      <c r="F932" s="66" t="s">
        <v>785</v>
      </c>
      <c r="G932" s="5"/>
      <c r="H932" s="5"/>
      <c r="I932" s="5"/>
      <c r="J932" s="5"/>
      <c r="K932" s="5"/>
      <c r="L932" s="5"/>
      <c r="M932" s="5"/>
      <c r="N932" s="5"/>
      <c r="O932" s="5"/>
      <c r="P932" s="5"/>
      <c r="Q932" s="5"/>
      <c r="R932" s="5"/>
      <c r="S932" s="5"/>
      <c r="T932" s="46"/>
      <c r="U932" s="1557" t="s">
        <v>589</v>
      </c>
      <c r="V932" s="1318"/>
      <c r="W932" s="1318"/>
      <c r="X932" s="1318"/>
      <c r="Y932" s="1318"/>
      <c r="Z932" s="1319"/>
      <c r="AA932" s="1543"/>
      <c r="AB932" s="1444"/>
      <c r="AC932" s="1444"/>
      <c r="AD932" s="1444"/>
      <c r="AE932" s="1444"/>
      <c r="AF932" s="1544"/>
      <c r="AZ932" s="34"/>
      <c r="BA932" s="34"/>
      <c r="BB932" s="34"/>
      <c r="BC932" s="34"/>
    </row>
    <row r="933" spans="6:55" ht="12.95" customHeight="1">
      <c r="F933" s="66" t="s">
        <v>786</v>
      </c>
      <c r="G933" s="5"/>
      <c r="H933" s="5"/>
      <c r="I933" s="5"/>
      <c r="J933" s="5"/>
      <c r="K933" s="5"/>
      <c r="L933" s="5"/>
      <c r="M933" s="5"/>
      <c r="N933" s="5"/>
      <c r="O933" s="5"/>
      <c r="P933" s="5"/>
      <c r="Q933" s="5"/>
      <c r="R933" s="5"/>
      <c r="S933" s="5"/>
      <c r="T933" s="46"/>
      <c r="U933" s="1557" t="s">
        <v>589</v>
      </c>
      <c r="V933" s="1318"/>
      <c r="W933" s="1318"/>
      <c r="X933" s="1318"/>
      <c r="Y933" s="1318"/>
      <c r="Z933" s="1319"/>
      <c r="AA933" s="1543"/>
      <c r="AB933" s="1444"/>
      <c r="AC933" s="1444"/>
      <c r="AD933" s="1444"/>
      <c r="AE933" s="1444"/>
      <c r="AF933" s="1544"/>
      <c r="AZ933" s="34"/>
      <c r="BA933" s="34"/>
      <c r="BB933" s="34"/>
      <c r="BC933" s="34"/>
    </row>
    <row r="934" spans="6:55" ht="12.95" customHeight="1">
      <c r="F934" s="45" t="s">
        <v>675</v>
      </c>
      <c r="G934" s="5"/>
      <c r="H934" s="5"/>
      <c r="I934" s="5"/>
      <c r="J934" s="5"/>
      <c r="K934" s="5"/>
      <c r="L934" s="5"/>
      <c r="M934" s="5"/>
      <c r="N934" s="5"/>
      <c r="O934" s="5"/>
      <c r="P934" s="5"/>
      <c r="Q934" s="5"/>
      <c r="R934" s="5"/>
      <c r="S934" s="5"/>
      <c r="T934" s="46"/>
      <c r="U934" s="1557" t="s">
        <v>589</v>
      </c>
      <c r="V934" s="1318"/>
      <c r="W934" s="1318"/>
      <c r="X934" s="1318"/>
      <c r="Y934" s="1318"/>
      <c r="Z934" s="1319"/>
      <c r="AA934" s="1543"/>
      <c r="AB934" s="1444"/>
      <c r="AC934" s="1444"/>
      <c r="AD934" s="1444"/>
      <c r="AE934" s="1444"/>
      <c r="AF934" s="1544"/>
      <c r="AZ934" s="34"/>
      <c r="BA934" s="34"/>
      <c r="BB934" s="34"/>
      <c r="BC934" s="34"/>
    </row>
    <row r="935" spans="6:55" ht="12.95" customHeight="1">
      <c r="F935" s="1610" t="s">
        <v>2144</v>
      </c>
      <c r="G935" s="1611"/>
      <c r="H935" s="1611"/>
      <c r="I935" s="1611"/>
      <c r="J935" s="1611"/>
      <c r="K935" s="1611"/>
      <c r="L935" s="1611"/>
      <c r="M935" s="1611"/>
      <c r="N935" s="1611"/>
      <c r="O935" s="1611"/>
      <c r="P935" s="1611"/>
      <c r="Q935" s="1611"/>
      <c r="R935" s="1611"/>
      <c r="S935" s="1611"/>
      <c r="T935" s="1612"/>
      <c r="U935" s="1557" t="s">
        <v>589</v>
      </c>
      <c r="V935" s="1318"/>
      <c r="W935" s="1318"/>
      <c r="X935" s="1318"/>
      <c r="Y935" s="1318"/>
      <c r="Z935" s="1319"/>
      <c r="AA935" s="1543"/>
      <c r="AB935" s="1444"/>
      <c r="AC935" s="1444"/>
      <c r="AD935" s="1444"/>
      <c r="AE935" s="1444"/>
      <c r="AF935" s="1544"/>
      <c r="AZ935" s="34"/>
      <c r="BA935" s="34"/>
      <c r="BB935" s="34"/>
      <c r="BC935" s="34"/>
    </row>
    <row r="936" spans="6:55" ht="12.95" customHeight="1">
      <c r="F936" s="1610" t="s">
        <v>677</v>
      </c>
      <c r="G936" s="1611"/>
      <c r="H936" s="1611"/>
      <c r="I936" s="1611"/>
      <c r="J936" s="1611"/>
      <c r="K936" s="1611"/>
      <c r="L936" s="1611"/>
      <c r="M936" s="1611"/>
      <c r="N936" s="1611"/>
      <c r="O936" s="1611"/>
      <c r="P936" s="1611"/>
      <c r="Q936" s="1611"/>
      <c r="R936" s="1611"/>
      <c r="S936" s="1611"/>
      <c r="T936" s="1612"/>
      <c r="U936" s="1557" t="s">
        <v>589</v>
      </c>
      <c r="V936" s="1318"/>
      <c r="W936" s="1318"/>
      <c r="X936" s="1318"/>
      <c r="Y936" s="1318"/>
      <c r="Z936" s="1319"/>
      <c r="AA936" s="1543"/>
      <c r="AB936" s="1444"/>
      <c r="AC936" s="1444"/>
      <c r="AD936" s="1444"/>
      <c r="AE936" s="1444"/>
      <c r="AF936" s="1544"/>
      <c r="AU936" s="2"/>
      <c r="AZ936" s="34"/>
      <c r="BA936" s="34"/>
      <c r="BB936" s="34"/>
      <c r="BC936" s="34"/>
    </row>
    <row r="937" spans="6:55" ht="12.95" customHeight="1">
      <c r="F937" s="1610" t="s">
        <v>2145</v>
      </c>
      <c r="G937" s="1611"/>
      <c r="H937" s="1611"/>
      <c r="I937" s="1611"/>
      <c r="J937" s="1611"/>
      <c r="K937" s="1611"/>
      <c r="L937" s="1611"/>
      <c r="M937" s="1611"/>
      <c r="N937" s="1611"/>
      <c r="O937" s="1611"/>
      <c r="P937" s="1611"/>
      <c r="Q937" s="1611"/>
      <c r="R937" s="1611"/>
      <c r="S937" s="1611"/>
      <c r="T937" s="1612"/>
      <c r="U937" s="1557" t="s">
        <v>589</v>
      </c>
      <c r="V937" s="1318"/>
      <c r="W937" s="1318"/>
      <c r="X937" s="1318"/>
      <c r="Y937" s="1318"/>
      <c r="Z937" s="1319"/>
      <c r="AA937" s="1543"/>
      <c r="AB937" s="1444"/>
      <c r="AC937" s="1444"/>
      <c r="AD937" s="1444"/>
      <c r="AE937" s="1444"/>
      <c r="AF937" s="1544"/>
      <c r="AU937" s="2"/>
      <c r="AZ937" s="34"/>
      <c r="BA937" s="34"/>
      <c r="BB937" s="34"/>
      <c r="BC937" s="34"/>
    </row>
    <row r="938" spans="6:55" ht="12.95" customHeight="1">
      <c r="F938" s="1610" t="s">
        <v>2146</v>
      </c>
      <c r="G938" s="1611"/>
      <c r="H938" s="1611"/>
      <c r="I938" s="1611"/>
      <c r="J938" s="1611"/>
      <c r="K938" s="1611"/>
      <c r="L938" s="1611"/>
      <c r="M938" s="1611"/>
      <c r="N938" s="1611"/>
      <c r="O938" s="1611"/>
      <c r="P938" s="1611"/>
      <c r="Q938" s="1611"/>
      <c r="R938" s="1611"/>
      <c r="S938" s="1611"/>
      <c r="T938" s="1612"/>
      <c r="U938" s="1557" t="s">
        <v>589</v>
      </c>
      <c r="V938" s="1318"/>
      <c r="W938" s="1318"/>
      <c r="X938" s="1318"/>
      <c r="Y938" s="1318"/>
      <c r="Z938" s="1319"/>
      <c r="AA938" s="1543"/>
      <c r="AB938" s="1444"/>
      <c r="AC938" s="1444"/>
      <c r="AD938" s="1444"/>
      <c r="AE938" s="1444"/>
      <c r="AF938" s="1544"/>
      <c r="AU938" s="2"/>
      <c r="AZ938" s="34"/>
      <c r="BA938" s="34"/>
      <c r="BB938" s="34"/>
      <c r="BC938" s="34"/>
    </row>
    <row r="939" spans="6:55" ht="12.95" customHeight="1">
      <c r="F939" s="1610" t="s">
        <v>2147</v>
      </c>
      <c r="G939" s="1611"/>
      <c r="H939" s="1611"/>
      <c r="I939" s="1611"/>
      <c r="J939" s="1611"/>
      <c r="K939" s="1611"/>
      <c r="L939" s="1611"/>
      <c r="M939" s="1611"/>
      <c r="N939" s="1611"/>
      <c r="O939" s="1611"/>
      <c r="P939" s="1611"/>
      <c r="Q939" s="1611"/>
      <c r="R939" s="1611"/>
      <c r="S939" s="1611"/>
      <c r="T939" s="1612"/>
      <c r="U939" s="1557" t="s">
        <v>589</v>
      </c>
      <c r="V939" s="1318"/>
      <c r="W939" s="1318"/>
      <c r="X939" s="1318"/>
      <c r="Y939" s="1318"/>
      <c r="Z939" s="1319"/>
      <c r="AA939" s="1543"/>
      <c r="AB939" s="1444"/>
      <c r="AC939" s="1444"/>
      <c r="AD939" s="1444"/>
      <c r="AE939" s="1444"/>
      <c r="AF939" s="1544"/>
      <c r="AU939" s="2"/>
      <c r="AZ939" s="34"/>
      <c r="BA939" s="34"/>
      <c r="BB939" s="34"/>
      <c r="BC939" s="34"/>
    </row>
    <row r="940" spans="6:55" ht="12.95" customHeight="1">
      <c r="F940" s="1610" t="s">
        <v>2148</v>
      </c>
      <c r="G940" s="1611"/>
      <c r="H940" s="1611"/>
      <c r="I940" s="1611"/>
      <c r="J940" s="1611"/>
      <c r="K940" s="1611"/>
      <c r="L940" s="1611"/>
      <c r="M940" s="1611"/>
      <c r="N940" s="1611"/>
      <c r="O940" s="1611"/>
      <c r="P940" s="1611"/>
      <c r="Q940" s="1611"/>
      <c r="R940" s="1611"/>
      <c r="S940" s="1611"/>
      <c r="T940" s="1612"/>
      <c r="U940" s="1557" t="s">
        <v>589</v>
      </c>
      <c r="V940" s="1318"/>
      <c r="W940" s="1318"/>
      <c r="X940" s="1318"/>
      <c r="Y940" s="1318"/>
      <c r="Z940" s="1319"/>
      <c r="AA940" s="1543"/>
      <c r="AB940" s="1444"/>
      <c r="AC940" s="1444"/>
      <c r="AD940" s="1444"/>
      <c r="AE940" s="1444"/>
      <c r="AF940" s="1544"/>
      <c r="AU940" s="2"/>
      <c r="AZ940" s="34"/>
      <c r="BA940" s="34"/>
      <c r="BB940" s="34"/>
      <c r="BC940" s="34"/>
    </row>
    <row r="941" spans="6:55" ht="12.95" customHeight="1">
      <c r="F941" s="1610" t="s">
        <v>2149</v>
      </c>
      <c r="G941" s="1611"/>
      <c r="H941" s="1611"/>
      <c r="I941" s="1611"/>
      <c r="J941" s="1611"/>
      <c r="K941" s="1611"/>
      <c r="L941" s="1611"/>
      <c r="M941" s="1611"/>
      <c r="N941" s="1611"/>
      <c r="O941" s="1611"/>
      <c r="P941" s="1611"/>
      <c r="Q941" s="1611"/>
      <c r="R941" s="1611"/>
      <c r="S941" s="1611"/>
      <c r="T941" s="1612"/>
      <c r="U941" s="1557" t="s">
        <v>589</v>
      </c>
      <c r="V941" s="1318"/>
      <c r="W941" s="1318"/>
      <c r="X941" s="1318"/>
      <c r="Y941" s="1318"/>
      <c r="Z941" s="1319"/>
      <c r="AA941" s="1543"/>
      <c r="AB941" s="1444"/>
      <c r="AC941" s="1444"/>
      <c r="AD941" s="1444"/>
      <c r="AE941" s="1444"/>
      <c r="AF941" s="1544"/>
      <c r="AZ941" s="30"/>
      <c r="BA941" s="30"/>
    </row>
    <row r="942" spans="6:55" ht="12.95" customHeight="1">
      <c r="F942" s="178" t="s">
        <v>674</v>
      </c>
      <c r="G942" s="5"/>
      <c r="H942" s="5"/>
      <c r="I942" s="5"/>
      <c r="J942" s="5"/>
      <c r="K942" s="5"/>
      <c r="L942" s="5"/>
      <c r="M942" s="5"/>
      <c r="N942" s="5"/>
      <c r="O942" s="5"/>
      <c r="P942" s="5"/>
      <c r="Q942" s="5"/>
      <c r="R942" s="5"/>
      <c r="S942" s="5"/>
      <c r="T942" s="46"/>
      <c r="U942" s="1557" t="s">
        <v>589</v>
      </c>
      <c r="V942" s="1318"/>
      <c r="W942" s="1318"/>
      <c r="X942" s="1318"/>
      <c r="Y942" s="1318"/>
      <c r="Z942" s="1319"/>
      <c r="AA942" s="1543"/>
      <c r="AB942" s="1444"/>
      <c r="AC942" s="1444"/>
      <c r="AD942" s="1444"/>
      <c r="AE942" s="1444"/>
      <c r="AF942" s="1544"/>
    </row>
    <row r="943" spans="6:55" ht="12.95" customHeight="1">
      <c r="F943" s="121" t="s">
        <v>1275</v>
      </c>
      <c r="G943" s="5"/>
      <c r="H943" s="5"/>
      <c r="I943" s="5"/>
      <c r="J943" s="5"/>
      <c r="K943" s="5"/>
      <c r="L943" s="5"/>
      <c r="M943" s="5"/>
      <c r="N943" s="5"/>
      <c r="O943" s="5"/>
      <c r="P943" s="5"/>
      <c r="Q943" s="5"/>
      <c r="R943" s="5"/>
      <c r="S943" s="5"/>
      <c r="T943" s="46"/>
      <c r="U943" s="1557" t="s">
        <v>589</v>
      </c>
      <c r="V943" s="1318"/>
      <c r="W943" s="1318"/>
      <c r="X943" s="1318"/>
      <c r="Y943" s="1318"/>
      <c r="Z943" s="1319"/>
      <c r="AA943" s="1543"/>
      <c r="AB943" s="1444"/>
      <c r="AC943" s="1444"/>
      <c r="AD943" s="1444"/>
      <c r="AE943" s="1444"/>
      <c r="AF943" s="1544"/>
      <c r="AZ943" s="30"/>
      <c r="BA943" s="14"/>
    </row>
    <row r="944" spans="6:55" ht="12.95" customHeight="1">
      <c r="F944" s="66" t="s">
        <v>800</v>
      </c>
      <c r="G944" s="5"/>
      <c r="H944" s="5"/>
      <c r="I944" s="5"/>
      <c r="J944" s="5"/>
      <c r="K944" s="5"/>
      <c r="L944" s="5"/>
      <c r="M944" s="5"/>
      <c r="N944" s="5"/>
      <c r="O944" s="5"/>
      <c r="P944" s="5"/>
      <c r="Q944" s="5"/>
      <c r="R944" s="5"/>
      <c r="S944" s="5"/>
      <c r="T944" s="46"/>
      <c r="U944" s="1557" t="s">
        <v>589</v>
      </c>
      <c r="V944" s="1318"/>
      <c r="W944" s="1318"/>
      <c r="X944" s="1318"/>
      <c r="Y944" s="1318"/>
      <c r="Z944" s="1319"/>
      <c r="AA944" s="1543"/>
      <c r="AB944" s="1444"/>
      <c r="AC944" s="1444"/>
      <c r="AD944" s="1444"/>
      <c r="AE944" s="1444"/>
      <c r="AF944" s="1544"/>
      <c r="AZ944" s="30"/>
      <c r="BA944" s="14"/>
    </row>
    <row r="945" spans="6:55" ht="12.95" customHeight="1">
      <c r="F945" s="1613" t="s">
        <v>2153</v>
      </c>
      <c r="G945" s="1614"/>
      <c r="H945" s="1614"/>
      <c r="I945" s="1614"/>
      <c r="J945" s="1614"/>
      <c r="K945" s="1614"/>
      <c r="L945" s="1614"/>
      <c r="M945" s="1614"/>
      <c r="N945" s="1614"/>
      <c r="O945" s="1614"/>
      <c r="P945" s="1614"/>
      <c r="Q945" s="1614"/>
      <c r="R945" s="1614"/>
      <c r="S945" s="1614"/>
      <c r="T945" s="1615"/>
      <c r="U945" s="1557" t="s">
        <v>589</v>
      </c>
      <c r="V945" s="1318"/>
      <c r="W945" s="1318"/>
      <c r="X945" s="1318"/>
      <c r="Y945" s="1318"/>
      <c r="Z945" s="1319"/>
      <c r="AA945" s="1543"/>
      <c r="AB945" s="1444"/>
      <c r="AC945" s="1444"/>
      <c r="AD945" s="1444"/>
      <c r="AE945" s="1444"/>
      <c r="AF945" s="1544"/>
      <c r="AZ945" s="30"/>
      <c r="BA945" s="14"/>
    </row>
    <row r="946" spans="6:55" ht="12.95" customHeight="1">
      <c r="F946" s="1613" t="s">
        <v>2154</v>
      </c>
      <c r="G946" s="1614"/>
      <c r="H946" s="1614"/>
      <c r="I946" s="1614"/>
      <c r="J946" s="1614"/>
      <c r="K946" s="1614"/>
      <c r="L946" s="1614"/>
      <c r="M946" s="1614"/>
      <c r="N946" s="1614"/>
      <c r="O946" s="1614"/>
      <c r="P946" s="1614"/>
      <c r="Q946" s="1614"/>
      <c r="R946" s="1614"/>
      <c r="S946" s="1614"/>
      <c r="T946" s="1615"/>
      <c r="U946" s="1557" t="s">
        <v>589</v>
      </c>
      <c r="V946" s="1318"/>
      <c r="W946" s="1318"/>
      <c r="X946" s="1318"/>
      <c r="Y946" s="1318"/>
      <c r="Z946" s="1319"/>
      <c r="AA946" s="1543"/>
      <c r="AB946" s="1444"/>
      <c r="AC946" s="1444"/>
      <c r="AD946" s="1444"/>
      <c r="AE946" s="1444"/>
      <c r="AF946" s="1544"/>
      <c r="AZ946" s="30"/>
      <c r="BA946" s="30"/>
    </row>
    <row r="947" spans="6:55" ht="12.95" customHeight="1">
      <c r="F947" s="1610" t="s">
        <v>2150</v>
      </c>
      <c r="G947" s="1611"/>
      <c r="H947" s="1611"/>
      <c r="I947" s="1611"/>
      <c r="J947" s="1611"/>
      <c r="K947" s="1611"/>
      <c r="L947" s="1611"/>
      <c r="M947" s="1611"/>
      <c r="N947" s="1611"/>
      <c r="O947" s="1611"/>
      <c r="P947" s="1611"/>
      <c r="Q947" s="1611"/>
      <c r="R947" s="1611"/>
      <c r="S947" s="1611"/>
      <c r="T947" s="1612"/>
      <c r="U947" s="1557" t="s">
        <v>589</v>
      </c>
      <c r="V947" s="1318"/>
      <c r="W947" s="1318"/>
      <c r="X947" s="1318"/>
      <c r="Y947" s="1318"/>
      <c r="Z947" s="1319"/>
      <c r="AA947" s="1543"/>
      <c r="AB947" s="1444"/>
      <c r="AC947" s="1444"/>
      <c r="AD947" s="1444"/>
      <c r="AE947" s="1444"/>
      <c r="AF947" s="1544"/>
      <c r="AZ947" s="30"/>
      <c r="BA947" s="30"/>
    </row>
    <row r="948" spans="6:55" ht="12.95" customHeight="1">
      <c r="F948" s="1610" t="s">
        <v>2151</v>
      </c>
      <c r="G948" s="1611"/>
      <c r="H948" s="1611"/>
      <c r="I948" s="1611"/>
      <c r="J948" s="1611"/>
      <c r="K948" s="1611"/>
      <c r="L948" s="1611"/>
      <c r="M948" s="1611"/>
      <c r="N948" s="1611"/>
      <c r="O948" s="1611"/>
      <c r="P948" s="1611"/>
      <c r="Q948" s="1611"/>
      <c r="R948" s="1611"/>
      <c r="S948" s="1611"/>
      <c r="T948" s="1612"/>
      <c r="U948" s="1557" t="s">
        <v>589</v>
      </c>
      <c r="V948" s="1318"/>
      <c r="W948" s="1318"/>
      <c r="X948" s="1318"/>
      <c r="Y948" s="1318"/>
      <c r="Z948" s="1319"/>
      <c r="AA948" s="1543"/>
      <c r="AB948" s="1444"/>
      <c r="AC948" s="1444"/>
      <c r="AD948" s="1444"/>
      <c r="AE948" s="1444"/>
      <c r="AF948" s="1544"/>
      <c r="AZ948" s="30"/>
      <c r="BA948" s="30"/>
    </row>
    <row r="949" spans="6:55" ht="12.95" customHeight="1">
      <c r="F949" s="1610" t="s">
        <v>2152</v>
      </c>
      <c r="G949" s="1611"/>
      <c r="H949" s="1611"/>
      <c r="I949" s="1611"/>
      <c r="J949" s="1611"/>
      <c r="K949" s="1611"/>
      <c r="L949" s="1611"/>
      <c r="M949" s="1611"/>
      <c r="N949" s="1611"/>
      <c r="O949" s="1611"/>
      <c r="P949" s="1611"/>
      <c r="Q949" s="1611"/>
      <c r="R949" s="1611"/>
      <c r="S949" s="1611"/>
      <c r="T949" s="1612"/>
      <c r="U949" s="1557" t="s">
        <v>589</v>
      </c>
      <c r="V949" s="1318"/>
      <c r="W949" s="1318"/>
      <c r="X949" s="1318"/>
      <c r="Y949" s="1318"/>
      <c r="Z949" s="1319"/>
      <c r="AA949" s="1543"/>
      <c r="AB949" s="1444"/>
      <c r="AC949" s="1444"/>
      <c r="AD949" s="1444"/>
      <c r="AE949" s="1444"/>
      <c r="AF949" s="1544"/>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557" t="s">
        <v>589</v>
      </c>
      <c r="V950" s="1318"/>
      <c r="W950" s="1318"/>
      <c r="X950" s="1318"/>
      <c r="Y950" s="1318"/>
      <c r="Z950" s="1319"/>
      <c r="AA950" s="1543"/>
      <c r="AB950" s="1444"/>
      <c r="AC950" s="1444"/>
      <c r="AD950" s="1444"/>
      <c r="AE950" s="1444"/>
      <c r="AF950" s="1544"/>
      <c r="AZ950" s="34"/>
      <c r="BA950" s="34"/>
      <c r="BB950" s="14"/>
      <c r="BC950" s="14"/>
    </row>
    <row r="951" spans="6:55" ht="12.95" customHeight="1">
      <c r="F951" s="1613" t="s">
        <v>2155</v>
      </c>
      <c r="G951" s="1614"/>
      <c r="H951" s="1614"/>
      <c r="I951" s="1614"/>
      <c r="J951" s="1614"/>
      <c r="K951" s="1614"/>
      <c r="L951" s="1614"/>
      <c r="M951" s="1614"/>
      <c r="N951" s="1614"/>
      <c r="O951" s="1614"/>
      <c r="P951" s="1614"/>
      <c r="Q951" s="1614"/>
      <c r="R951" s="1614"/>
      <c r="S951" s="1614"/>
      <c r="T951" s="1615"/>
      <c r="U951" s="1557" t="s">
        <v>589</v>
      </c>
      <c r="V951" s="1318"/>
      <c r="W951" s="1318"/>
      <c r="X951" s="1318"/>
      <c r="Y951" s="1318"/>
      <c r="Z951" s="1319"/>
      <c r="AA951" s="1543"/>
      <c r="AB951" s="1444"/>
      <c r="AC951" s="1444"/>
      <c r="AD951" s="1444"/>
      <c r="AE951" s="1444"/>
      <c r="AF951" s="1544"/>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557" t="s">
        <v>589</v>
      </c>
      <c r="V952" s="1318"/>
      <c r="W952" s="1318"/>
      <c r="X952" s="1318"/>
      <c r="Y952" s="1318"/>
      <c r="Z952" s="1319"/>
      <c r="AA952" s="1543"/>
      <c r="AB952" s="1444"/>
      <c r="AC952" s="1444"/>
      <c r="AD952" s="1444"/>
      <c r="AE952" s="1444"/>
      <c r="AF952" s="1544"/>
      <c r="AZ952" s="34"/>
      <c r="BA952" s="34"/>
      <c r="BB952" s="34"/>
      <c r="BC952" s="34"/>
    </row>
    <row r="953" spans="6:55" ht="12.95" customHeight="1">
      <c r="F953" s="1613" t="s">
        <v>2156</v>
      </c>
      <c r="G953" s="1614"/>
      <c r="H953" s="1614"/>
      <c r="I953" s="1614"/>
      <c r="J953" s="1614"/>
      <c r="K953" s="1614"/>
      <c r="L953" s="1614"/>
      <c r="M953" s="1614"/>
      <c r="N953" s="1614"/>
      <c r="O953" s="1614"/>
      <c r="P953" s="1614"/>
      <c r="Q953" s="1614"/>
      <c r="R953" s="1614"/>
      <c r="S953" s="1614"/>
      <c r="T953" s="1615"/>
      <c r="U953" s="1557" t="s">
        <v>589</v>
      </c>
      <c r="V953" s="1318"/>
      <c r="W953" s="1318"/>
      <c r="X953" s="1318"/>
      <c r="Y953" s="1318"/>
      <c r="Z953" s="1319"/>
      <c r="AA953" s="1543"/>
      <c r="AB953" s="1444"/>
      <c r="AC953" s="1444"/>
      <c r="AD953" s="1444"/>
      <c r="AE953" s="1444"/>
      <c r="AF953" s="1544"/>
      <c r="AZ953" s="34"/>
      <c r="BA953" s="34"/>
      <c r="BB953" s="34"/>
      <c r="BC953" s="34"/>
    </row>
    <row r="954" spans="6:55" ht="12.95" customHeight="1">
      <c r="F954" s="45" t="s">
        <v>804</v>
      </c>
      <c r="G954" s="5"/>
      <c r="H954" s="5"/>
      <c r="I954" s="5"/>
      <c r="J954" s="5"/>
      <c r="K954" s="5"/>
      <c r="L954" s="5"/>
      <c r="M954" s="5"/>
      <c r="N954" s="5"/>
      <c r="O954" s="5"/>
      <c r="P954" s="1557" t="s">
        <v>667</v>
      </c>
      <c r="Q954" s="1318"/>
      <c r="R954" s="1318"/>
      <c r="S954" s="1318"/>
      <c r="T954" s="1319"/>
      <c r="U954" s="1557" t="s">
        <v>589</v>
      </c>
      <c r="V954" s="1318"/>
      <c r="W954" s="1318"/>
      <c r="X954" s="1318"/>
      <c r="Y954" s="1318"/>
      <c r="Z954" s="1319"/>
      <c r="AA954" s="1543"/>
      <c r="AB954" s="1444"/>
      <c r="AC954" s="1444"/>
      <c r="AD954" s="1444"/>
      <c r="AE954" s="1444"/>
      <c r="AF954" s="1544"/>
      <c r="AZ954" s="34"/>
      <c r="BA954" s="34"/>
      <c r="BB954" s="34"/>
      <c r="BC954" s="34"/>
    </row>
    <row r="955" spans="6:55" ht="12.95" customHeight="1">
      <c r="F955" s="1610" t="s">
        <v>2143</v>
      </c>
      <c r="G955" s="1611"/>
      <c r="H955" s="1612"/>
      <c r="I955" s="1554" t="s">
        <v>333</v>
      </c>
      <c r="J955" s="1555"/>
      <c r="K955" s="1555"/>
      <c r="L955" s="1555"/>
      <c r="M955" s="1555"/>
      <c r="N955" s="1555"/>
      <c r="O955" s="1555"/>
      <c r="P955" s="1555"/>
      <c r="Q955" s="1555"/>
      <c r="R955" s="1555"/>
      <c r="S955" s="1555"/>
      <c r="T955" s="1556"/>
      <c r="U955" s="1557" t="s">
        <v>589</v>
      </c>
      <c r="V955" s="1318"/>
      <c r="W955" s="1318"/>
      <c r="X955" s="1318"/>
      <c r="Y955" s="1318"/>
      <c r="Z955" s="1319"/>
      <c r="AA955" s="1543"/>
      <c r="AB955" s="1444"/>
      <c r="AC955" s="1444"/>
      <c r="AD955" s="1444"/>
      <c r="AE955" s="1444"/>
      <c r="AF955" s="1544"/>
      <c r="AZ955" s="34"/>
      <c r="BA955" s="34"/>
      <c r="BB955" s="34"/>
      <c r="BC955" s="34"/>
    </row>
    <row r="956" spans="6:55" ht="12.95" customHeight="1">
      <c r="F956" s="45" t="s">
        <v>86</v>
      </c>
      <c r="G956" s="48"/>
      <c r="H956" s="48"/>
      <c r="I956" s="1554" t="s">
        <v>333</v>
      </c>
      <c r="J956" s="1555"/>
      <c r="K956" s="1555"/>
      <c r="L956" s="1555"/>
      <c r="M956" s="1555"/>
      <c r="N956" s="1555"/>
      <c r="O956" s="1555"/>
      <c r="P956" s="1555"/>
      <c r="Q956" s="1555"/>
      <c r="R956" s="1555"/>
      <c r="S956" s="1555"/>
      <c r="T956" s="1556"/>
      <c r="U956" s="1557" t="s">
        <v>589</v>
      </c>
      <c r="V956" s="1318"/>
      <c r="W956" s="1318"/>
      <c r="X956" s="1318"/>
      <c r="Y956" s="1318"/>
      <c r="Z956" s="1319"/>
      <c r="AA956" s="1543"/>
      <c r="AB956" s="1444"/>
      <c r="AC956" s="1444"/>
      <c r="AD956" s="1444"/>
      <c r="AE956" s="1444"/>
      <c r="AF956" s="1544"/>
      <c r="AZ956" s="34"/>
      <c r="BA956" s="34"/>
      <c r="BB956" s="34"/>
      <c r="BC956" s="34"/>
    </row>
    <row r="957" spans="6:55" ht="12.95" customHeight="1">
      <c r="F957" s="45" t="s">
        <v>10</v>
      </c>
      <c r="G957" s="48"/>
      <c r="H957" s="48"/>
      <c r="I957" s="1625" t="s">
        <v>333</v>
      </c>
      <c r="J957" s="1619"/>
      <c r="K957" s="1619"/>
      <c r="L957" s="1619"/>
      <c r="M957" s="1619"/>
      <c r="N957" s="1619"/>
      <c r="O957" s="1619"/>
      <c r="P957" s="1619"/>
      <c r="Q957" s="1619"/>
      <c r="R957" s="1619"/>
      <c r="S957" s="1619"/>
      <c r="T957" s="1620"/>
      <c r="U957" s="1557" t="s">
        <v>589</v>
      </c>
      <c r="V957" s="1318"/>
      <c r="W957" s="1318"/>
      <c r="X957" s="1318"/>
      <c r="Y957" s="1318"/>
      <c r="Z957" s="1319"/>
      <c r="AA957" s="1543"/>
      <c r="AB957" s="1444"/>
      <c r="AC957" s="1444"/>
      <c r="AD957" s="1444"/>
      <c r="AE957" s="1444"/>
      <c r="AF957" s="1544"/>
      <c r="AV957" s="2"/>
      <c r="AW957" s="2"/>
      <c r="AX957" s="2"/>
      <c r="AY957" s="2"/>
      <c r="AZ957" s="34"/>
      <c r="BA957" s="34"/>
      <c r="BB957" s="34"/>
      <c r="BC957" s="34"/>
    </row>
    <row r="958" spans="6:55" ht="12.95" customHeight="1">
      <c r="F958" s="47" t="s">
        <v>169</v>
      </c>
      <c r="G958" s="48"/>
      <c r="H958" s="48"/>
      <c r="I958" s="1554" t="s">
        <v>2723</v>
      </c>
      <c r="J958" s="1619"/>
      <c r="K958" s="1619"/>
      <c r="L958" s="1619"/>
      <c r="M958" s="1619"/>
      <c r="N958" s="1619"/>
      <c r="O958" s="1619"/>
      <c r="P958" s="1619"/>
      <c r="Q958" s="1619"/>
      <c r="R958" s="1619"/>
      <c r="S958" s="1619"/>
      <c r="T958" s="1620"/>
      <c r="U958" s="1557" t="s">
        <v>589</v>
      </c>
      <c r="V958" s="1318"/>
      <c r="W958" s="1318"/>
      <c r="X958" s="1318"/>
      <c r="Y958" s="1318"/>
      <c r="Z958" s="1319"/>
      <c r="AA958" s="1543">
        <v>10000000</v>
      </c>
      <c r="AB958" s="1444"/>
      <c r="AC958" s="1444"/>
      <c r="AD958" s="1444"/>
      <c r="AE958" s="1444"/>
      <c r="AF958" s="1544"/>
      <c r="AU958" s="2"/>
      <c r="AZ958" s="34"/>
      <c r="BA958" s="34"/>
      <c r="BB958" s="34"/>
      <c r="BC958" s="34"/>
    </row>
    <row r="959" spans="6:55" ht="12.95" customHeight="1">
      <c r="F959" s="47" t="s">
        <v>169</v>
      </c>
      <c r="G959" s="48"/>
      <c r="H959" s="48"/>
      <c r="I959" s="1625" t="s">
        <v>333</v>
      </c>
      <c r="J959" s="1619"/>
      <c r="K959" s="1619"/>
      <c r="L959" s="1619"/>
      <c r="M959" s="1619"/>
      <c r="N959" s="1619"/>
      <c r="O959" s="1619"/>
      <c r="P959" s="1619"/>
      <c r="Q959" s="1619"/>
      <c r="R959" s="1619"/>
      <c r="S959" s="1619"/>
      <c r="T959" s="1620"/>
      <c r="U959" s="1557" t="s">
        <v>589</v>
      </c>
      <c r="V959" s="1318"/>
      <c r="W959" s="1318"/>
      <c r="X959" s="1318"/>
      <c r="Y959" s="1318"/>
      <c r="Z959" s="1319"/>
      <c r="AA959" s="1543"/>
      <c r="AB959" s="1444"/>
      <c r="AC959" s="1444"/>
      <c r="AD959" s="1444"/>
      <c r="AE959" s="1444"/>
      <c r="AF959" s="1544"/>
      <c r="AU959" s="2"/>
      <c r="AZ959" s="34"/>
      <c r="BA959" s="34"/>
      <c r="BB959" s="34"/>
      <c r="BC959" s="34"/>
    </row>
    <row r="960" spans="6:55" ht="12.95" customHeight="1">
      <c r="AU960" s="2"/>
      <c r="AZ960" s="34"/>
      <c r="BA960" s="34"/>
      <c r="BB960" s="34"/>
      <c r="BC960" s="34"/>
    </row>
    <row r="961" spans="1:64" ht="12.95" customHeight="1">
      <c r="A961" s="2" t="s">
        <v>574</v>
      </c>
      <c r="C961" s="2" t="s">
        <v>749</v>
      </c>
      <c r="AZ961" s="34"/>
      <c r="BA961" s="34"/>
      <c r="BB961" s="34"/>
      <c r="BC961" s="34"/>
    </row>
    <row r="962" spans="1:64" ht="12.95" customHeight="1">
      <c r="B962" s="2"/>
      <c r="C962" s="22" t="s">
        <v>390</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4"/>
      <c r="N964" s="1433"/>
      <c r="O964" s="1433"/>
      <c r="P964" s="1433"/>
      <c r="Q964" s="1433"/>
      <c r="R964" s="1433"/>
      <c r="S964" s="1580"/>
      <c r="U964" s="66" t="s">
        <v>11</v>
      </c>
      <c r="V964" s="5"/>
      <c r="W964" s="5"/>
      <c r="X964" s="5"/>
      <c r="Y964" s="5"/>
      <c r="Z964" s="5"/>
      <c r="AA964" s="5"/>
      <c r="AB964" s="5"/>
      <c r="AC964" s="5"/>
      <c r="AD964" s="46"/>
      <c r="AE964" s="1624"/>
      <c r="AF964" s="1433"/>
      <c r="AG964" s="1433"/>
      <c r="AH964" s="1433"/>
      <c r="AI964" s="1433"/>
      <c r="AJ964" s="1433"/>
      <c r="AK964" s="1580"/>
      <c r="AZ964" s="34"/>
      <c r="BA964" s="34"/>
      <c r="BB964" s="34"/>
      <c r="BC964" s="34"/>
    </row>
    <row r="965" spans="1:64" ht="12.95" customHeight="1">
      <c r="C965" s="66" t="s">
        <v>12</v>
      </c>
      <c r="D965" s="5"/>
      <c r="E965" s="5"/>
      <c r="F965" s="5"/>
      <c r="G965" s="5"/>
      <c r="H965" s="5"/>
      <c r="I965" s="5"/>
      <c r="J965" s="5"/>
      <c r="K965" s="5"/>
      <c r="L965" s="46"/>
      <c r="M965" s="1386"/>
      <c r="N965" s="1454"/>
      <c r="O965" s="1454"/>
      <c r="P965" s="1454"/>
      <c r="Q965" s="1454"/>
      <c r="R965" s="1454"/>
      <c r="S965" s="1649"/>
      <c r="U965" s="66" t="s">
        <v>12</v>
      </c>
      <c r="V965" s="5"/>
      <c r="W965" s="5"/>
      <c r="X965" s="5"/>
      <c r="Y965" s="5"/>
      <c r="Z965" s="5"/>
      <c r="AA965" s="5"/>
      <c r="AB965" s="5"/>
      <c r="AC965" s="5"/>
      <c r="AD965" s="46"/>
      <c r="AE965" s="1386"/>
      <c r="AF965" s="1454"/>
      <c r="AG965" s="1454"/>
      <c r="AH965" s="1454"/>
      <c r="AI965" s="1454"/>
      <c r="AJ965" s="1454"/>
      <c r="AK965" s="1649"/>
      <c r="AZ965" s="34"/>
      <c r="BA965" s="34"/>
      <c r="BB965" s="34"/>
      <c r="BC965" s="34"/>
    </row>
    <row r="966" spans="1:64" ht="12.95" customHeight="1">
      <c r="C966" s="66" t="s">
        <v>878</v>
      </c>
      <c r="D966" s="5"/>
      <c r="E966" s="5"/>
      <c r="J966" s="1665" t="s">
        <v>306</v>
      </c>
      <c r="K966" s="1666"/>
      <c r="L966" s="1666"/>
      <c r="M966" s="1666"/>
      <c r="N966" s="1666"/>
      <c r="O966" s="1666"/>
      <c r="P966" s="1666"/>
      <c r="Q966" s="1666"/>
      <c r="R966" s="1666"/>
      <c r="S966" s="1667"/>
      <c r="U966" s="66" t="s">
        <v>878</v>
      </c>
      <c r="V966" s="5"/>
      <c r="W966" s="5"/>
      <c r="AB966" s="1665" t="s">
        <v>306</v>
      </c>
      <c r="AC966" s="1666"/>
      <c r="AD966" s="1666"/>
      <c r="AE966" s="1666"/>
      <c r="AF966" s="1666"/>
      <c r="AG966" s="1666"/>
      <c r="AH966" s="1666"/>
      <c r="AI966" s="1666"/>
      <c r="AJ966" s="1666"/>
      <c r="AK966" s="1667"/>
      <c r="AZ966" s="34"/>
      <c r="BA966" s="34"/>
      <c r="BB966" s="34"/>
      <c r="BC966" s="34"/>
    </row>
    <row r="967" spans="1:64" ht="12.95" customHeight="1">
      <c r="C967" s="66" t="s">
        <v>13</v>
      </c>
      <c r="D967" s="5"/>
      <c r="E967" s="5"/>
      <c r="F967" s="5"/>
      <c r="G967" s="5"/>
      <c r="H967" s="5"/>
      <c r="I967" s="5"/>
      <c r="J967" s="5"/>
      <c r="K967" s="5"/>
      <c r="L967" s="46"/>
      <c r="M967" s="1636"/>
      <c r="N967" s="1637"/>
      <c r="O967" s="1637"/>
      <c r="P967" s="1637"/>
      <c r="Q967" s="1637"/>
      <c r="R967" s="1637"/>
      <c r="S967" s="1638"/>
      <c r="U967" s="66" t="s">
        <v>13</v>
      </c>
      <c r="V967" s="5"/>
      <c r="W967" s="5"/>
      <c r="X967" s="5"/>
      <c r="Y967" s="5"/>
      <c r="Z967" s="5"/>
      <c r="AA967" s="5"/>
      <c r="AB967" s="5"/>
      <c r="AC967" s="5"/>
      <c r="AD967" s="46"/>
      <c r="AE967" s="1656"/>
      <c r="AF967" s="1637"/>
      <c r="AG967" s="1637"/>
      <c r="AH967" s="1637"/>
      <c r="AI967" s="1637"/>
      <c r="AJ967" s="1637"/>
      <c r="AK967" s="1638"/>
      <c r="AZ967" s="34"/>
      <c r="BA967" s="34"/>
      <c r="BB967" s="34"/>
      <c r="BC967" s="34"/>
    </row>
    <row r="968" spans="1:64" ht="12.95" customHeight="1">
      <c r="C968" s="66" t="s">
        <v>14</v>
      </c>
      <c r="D968" s="5"/>
      <c r="E968" s="5"/>
      <c r="F968" s="5"/>
      <c r="G968" s="5"/>
      <c r="H968" s="5"/>
      <c r="I968" s="5"/>
      <c r="J968" s="5"/>
      <c r="K968" s="5"/>
      <c r="L968" s="46"/>
      <c r="M968" s="1561"/>
      <c r="N968" s="1559"/>
      <c r="O968" s="1559"/>
      <c r="P968" s="1559"/>
      <c r="Q968" s="1559"/>
      <c r="R968" s="1559"/>
      <c r="S968" s="1560"/>
      <c r="U968" s="66" t="s">
        <v>14</v>
      </c>
      <c r="V968" s="5"/>
      <c r="W968" s="5"/>
      <c r="X968" s="5"/>
      <c r="Y968" s="5"/>
      <c r="Z968" s="5"/>
      <c r="AA968" s="5"/>
      <c r="AB968" s="5"/>
      <c r="AC968" s="5"/>
      <c r="AD968" s="46"/>
      <c r="AE968" s="1561"/>
      <c r="AF968" s="1559"/>
      <c r="AG968" s="1559"/>
      <c r="AH968" s="1559"/>
      <c r="AI968" s="1559"/>
      <c r="AJ968" s="1559"/>
      <c r="AK968" s="1560"/>
      <c r="AV968" s="2"/>
      <c r="AW968" s="2"/>
      <c r="AX968" s="2"/>
      <c r="AY968" s="2"/>
      <c r="AZ968" s="34"/>
      <c r="BA968" s="34"/>
      <c r="BB968" s="34"/>
      <c r="BC968" s="34"/>
    </row>
    <row r="969" spans="1:64" ht="12.95" customHeight="1">
      <c r="C969" s="66" t="s">
        <v>15</v>
      </c>
      <c r="D969" s="5"/>
      <c r="E969" s="5"/>
      <c r="F969" s="5"/>
      <c r="G969" s="5"/>
      <c r="H969" s="5"/>
      <c r="I969" s="5"/>
      <c r="J969" s="5"/>
      <c r="K969" s="5"/>
      <c r="L969" s="46"/>
      <c r="M969" s="1543"/>
      <c r="N969" s="1444"/>
      <c r="O969" s="1444"/>
      <c r="P969" s="1444"/>
      <c r="Q969" s="1444"/>
      <c r="R969" s="1444"/>
      <c r="S969" s="1544"/>
      <c r="U969" s="66" t="s">
        <v>15</v>
      </c>
      <c r="V969" s="5"/>
      <c r="W969" s="5"/>
      <c r="X969" s="5"/>
      <c r="Y969" s="5"/>
      <c r="Z969" s="5"/>
      <c r="AA969" s="5"/>
      <c r="AB969" s="5"/>
      <c r="AC969" s="5"/>
      <c r="AD969" s="46"/>
      <c r="AE969" s="1543"/>
      <c r="AF969" s="1444"/>
      <c r="AG969" s="1444"/>
      <c r="AH969" s="1444"/>
      <c r="AI969" s="1444"/>
      <c r="AJ969" s="1444"/>
      <c r="AK969" s="1544"/>
      <c r="AV969" s="2"/>
      <c r="AW969" s="2"/>
      <c r="AX969" s="2"/>
      <c r="AY969" s="2"/>
      <c r="AZ969" s="34"/>
      <c r="BA969" s="34"/>
      <c r="BB969" s="34"/>
      <c r="BC969" s="34"/>
    </row>
    <row r="970" spans="1:64" ht="12.95" customHeight="1">
      <c r="C970" s="66" t="s">
        <v>16</v>
      </c>
      <c r="D970" s="5"/>
      <c r="E970" s="5"/>
      <c r="F970" s="5"/>
      <c r="G970" s="5"/>
      <c r="H970" s="5"/>
      <c r="I970" s="5"/>
      <c r="J970" s="5"/>
      <c r="K970" s="5"/>
      <c r="L970" s="46"/>
      <c r="M970" s="1543"/>
      <c r="N970" s="1444"/>
      <c r="O970" s="1444"/>
      <c r="P970" s="1444"/>
      <c r="Q970" s="1444"/>
      <c r="R970" s="1444"/>
      <c r="S970" s="1544"/>
      <c r="U970" s="66" t="s">
        <v>16</v>
      </c>
      <c r="V970" s="5"/>
      <c r="W970" s="5"/>
      <c r="X970" s="5"/>
      <c r="Y970" s="5"/>
      <c r="Z970" s="5"/>
      <c r="AA970" s="5"/>
      <c r="AB970" s="5"/>
      <c r="AC970" s="5"/>
      <c r="AD970" s="46"/>
      <c r="AE970" s="1543"/>
      <c r="AF970" s="1444"/>
      <c r="AG970" s="1444"/>
      <c r="AH970" s="1444"/>
      <c r="AI970" s="1444"/>
      <c r="AJ970" s="1444"/>
      <c r="AK970" s="1544"/>
      <c r="AV970" s="2"/>
      <c r="AW970" s="2"/>
      <c r="AX970" s="2"/>
      <c r="AY970" s="2"/>
      <c r="AZ970" s="34"/>
      <c r="BB970" s="34"/>
      <c r="BC970" s="34"/>
    </row>
    <row r="971" spans="1:64" ht="12.95" customHeight="1">
      <c r="C971" s="121" t="s">
        <v>1648</v>
      </c>
      <c r="D971" s="5"/>
      <c r="E971" s="5"/>
      <c r="F971" s="5"/>
      <c r="G971" s="5"/>
      <c r="H971" s="5"/>
      <c r="I971" s="5"/>
      <c r="J971" s="5"/>
      <c r="K971" s="5"/>
      <c r="L971" s="46"/>
      <c r="M971" s="1653"/>
      <c r="N971" s="1654"/>
      <c r="O971" s="1654"/>
      <c r="P971" s="1654"/>
      <c r="Q971" s="1654"/>
      <c r="R971" s="1654"/>
      <c r="S971" s="1655"/>
      <c r="U971" s="121" t="s">
        <v>1648</v>
      </c>
      <c r="V971" s="5"/>
      <c r="W971" s="5"/>
      <c r="X971" s="5"/>
      <c r="Y971" s="5"/>
      <c r="Z971" s="5"/>
      <c r="AA971" s="5"/>
      <c r="AB971" s="5"/>
      <c r="AC971" s="5"/>
      <c r="AD971" s="46"/>
      <c r="AE971" s="1653"/>
      <c r="AF971" s="1654"/>
      <c r="AG971" s="1654"/>
      <c r="AH971" s="1654"/>
      <c r="AI971" s="1654"/>
      <c r="AJ971" s="1654"/>
      <c r="AK971" s="1655"/>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584</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569</v>
      </c>
      <c r="G976" s="5"/>
      <c r="H976" s="5"/>
      <c r="I976" s="5"/>
      <c r="J976" s="5"/>
      <c r="K976" s="5"/>
      <c r="L976" s="46"/>
      <c r="M976" s="1621"/>
      <c r="N976" s="1622"/>
      <c r="O976" s="1622"/>
      <c r="P976" s="1622"/>
      <c r="Q976" s="1622"/>
      <c r="R976" s="1622"/>
      <c r="S976" s="1623"/>
      <c r="T976" s="66" t="s">
        <v>788</v>
      </c>
      <c r="U976" s="5"/>
      <c r="V976" s="5"/>
      <c r="W976" s="5"/>
      <c r="X976" s="5"/>
      <c r="Y976" s="5"/>
      <c r="Z976" s="46"/>
      <c r="AA976" s="1621"/>
      <c r="AB976" s="1622"/>
      <c r="AC976" s="1622"/>
      <c r="AD976" s="1622"/>
      <c r="AE976" s="1622"/>
      <c r="AF976" s="1622"/>
      <c r="AG976" s="162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570</v>
      </c>
      <c r="G977" s="5"/>
      <c r="H977" s="5"/>
      <c r="I977" s="5"/>
      <c r="J977" s="5"/>
      <c r="K977" s="5"/>
      <c r="L977" s="46"/>
      <c r="M977" s="1621"/>
      <c r="N977" s="1622"/>
      <c r="O977" s="1622"/>
      <c r="P977" s="1622"/>
      <c r="Q977" s="1622"/>
      <c r="R977" s="1622"/>
      <c r="S977" s="1623"/>
      <c r="T977" s="66" t="s">
        <v>787</v>
      </c>
      <c r="U977" s="5"/>
      <c r="V977" s="5"/>
      <c r="W977" s="5"/>
      <c r="X977" s="5"/>
      <c r="Y977" s="5"/>
      <c r="Z977" s="46"/>
      <c r="AA977" s="1621"/>
      <c r="AB977" s="1622"/>
      <c r="AC977" s="1622"/>
      <c r="AD977" s="1622"/>
      <c r="AE977" s="1622"/>
      <c r="AF977" s="1622"/>
      <c r="AG977" s="162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899</v>
      </c>
      <c r="G978" s="5"/>
      <c r="H978" s="5"/>
      <c r="I978" s="5"/>
      <c r="J978" s="5"/>
      <c r="K978" s="5"/>
      <c r="L978" s="46"/>
      <c r="M978" s="1639" t="s">
        <v>589</v>
      </c>
      <c r="N978" s="1640"/>
      <c r="O978" s="1640"/>
      <c r="P978" s="1640"/>
      <c r="Q978" s="1640"/>
      <c r="R978" s="1640"/>
      <c r="S978" s="1641"/>
      <c r="T978" s="45" t="s">
        <v>335</v>
      </c>
      <c r="U978" s="5"/>
      <c r="V978" s="5"/>
      <c r="W978" s="5"/>
      <c r="X978" s="5"/>
      <c r="Y978" s="5"/>
      <c r="Z978" s="46"/>
      <c r="AA978" s="1621"/>
      <c r="AB978" s="1622"/>
      <c r="AC978" s="1622"/>
      <c r="AD978" s="1622"/>
      <c r="AE978" s="1622"/>
      <c r="AF978" s="1622"/>
      <c r="AG978" s="162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571</v>
      </c>
      <c r="G979" s="5"/>
      <c r="H979" s="5"/>
      <c r="I979" s="5"/>
      <c r="J979" s="5"/>
      <c r="K979" s="5"/>
      <c r="L979" s="46"/>
      <c r="M979" s="1621"/>
      <c r="N979" s="1622"/>
      <c r="O979" s="1622"/>
      <c r="P979" s="1622"/>
      <c r="Q979" s="1622"/>
      <c r="R979" s="1622"/>
      <c r="S979" s="1623"/>
      <c r="T979" s="45" t="s">
        <v>336</v>
      </c>
      <c r="U979" s="5"/>
      <c r="V979" s="5"/>
      <c r="W979" s="5"/>
      <c r="X979" s="5"/>
      <c r="Y979" s="5"/>
      <c r="Z979" s="46"/>
      <c r="AA979" s="1621"/>
      <c r="AB979" s="1622"/>
      <c r="AC979" s="1622"/>
      <c r="AD979" s="1622"/>
      <c r="AE979" s="1622"/>
      <c r="AF979" s="1622"/>
      <c r="AG979" s="162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462</v>
      </c>
      <c r="G980" s="5"/>
      <c r="H980" s="5"/>
      <c r="I980" s="5"/>
      <c r="J980" s="5"/>
      <c r="K980" s="5"/>
      <c r="L980" s="46"/>
      <c r="M980" s="1621"/>
      <c r="N980" s="1622"/>
      <c r="O980" s="1622"/>
      <c r="P980" s="1622"/>
      <c r="Q980" s="1622"/>
      <c r="R980" s="1622"/>
      <c r="S980" s="1623"/>
      <c r="T980" s="45" t="s">
        <v>374</v>
      </c>
      <c r="U980" s="5"/>
      <c r="V980" s="5"/>
      <c r="W980" s="5"/>
      <c r="X980" s="5"/>
      <c r="Y980" s="5"/>
      <c r="Z980" s="46"/>
      <c r="AA980" s="1621"/>
      <c r="AB980" s="1622"/>
      <c r="AC980" s="1622"/>
      <c r="AD980" s="1622"/>
      <c r="AE980" s="1622"/>
      <c r="AF980" s="1622"/>
      <c r="AG980" s="162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878</v>
      </c>
      <c r="G981" s="42"/>
      <c r="H981" s="42"/>
      <c r="I981" s="42"/>
      <c r="J981" s="42"/>
      <c r="K981" s="42"/>
      <c r="L981" s="58"/>
      <c r="M981" s="1665" t="s">
        <v>306</v>
      </c>
      <c r="N981" s="1666"/>
      <c r="O981" s="1666"/>
      <c r="P981" s="1666"/>
      <c r="Q981" s="1666"/>
      <c r="R981" s="1666"/>
      <c r="S981" s="1667"/>
      <c r="T981" s="1646"/>
      <c r="U981" s="1647"/>
      <c r="V981" s="1647"/>
      <c r="W981" s="1647"/>
      <c r="X981" s="1647"/>
      <c r="Y981" s="1647"/>
      <c r="Z981" s="1648"/>
      <c r="AA981" s="1621"/>
      <c r="AB981" s="1622"/>
      <c r="AC981" s="1622"/>
      <c r="AD981" s="1622"/>
      <c r="AE981" s="1622"/>
      <c r="AF981" s="1622"/>
      <c r="AG981" s="162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463</v>
      </c>
      <c r="G982" s="42"/>
      <c r="H982" s="42"/>
      <c r="I982" s="42"/>
      <c r="J982" s="42"/>
      <c r="K982" s="42"/>
      <c r="L982" s="58"/>
      <c r="M982" s="1621"/>
      <c r="N982" s="1622"/>
      <c r="O982" s="1622"/>
      <c r="P982" s="1622"/>
      <c r="Q982" s="1622"/>
      <c r="R982" s="1622"/>
      <c r="S982" s="1623"/>
      <c r="T982" s="1646"/>
      <c r="U982" s="1647"/>
      <c r="V982" s="1647"/>
      <c r="W982" s="1647"/>
      <c r="X982" s="1647"/>
      <c r="Y982" s="1647"/>
      <c r="Z982" s="1648"/>
      <c r="AA982" s="1621"/>
      <c r="AB982" s="1622"/>
      <c r="AC982" s="1622"/>
      <c r="AD982" s="1622"/>
      <c r="AE982" s="1622"/>
      <c r="AF982" s="1622"/>
      <c r="AG982" s="162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334</v>
      </c>
      <c r="G983" s="42"/>
      <c r="H983" s="42"/>
      <c r="I983" s="42"/>
      <c r="J983" s="42"/>
      <c r="K983" s="42"/>
      <c r="L983" s="42"/>
      <c r="M983" s="42"/>
      <c r="N983" s="42"/>
      <c r="O983" s="1409" t="s">
        <v>667</v>
      </c>
      <c r="P983" s="1387"/>
      <c r="Q983" s="92"/>
      <c r="R983" s="92"/>
      <c r="S983" s="93"/>
      <c r="T983" s="41" t="s">
        <v>169</v>
      </c>
      <c r="U983" s="42"/>
      <c r="V983" s="42"/>
      <c r="W983" s="1737" t="s">
        <v>333</v>
      </c>
      <c r="X983" s="1738"/>
      <c r="Y983" s="1738"/>
      <c r="Z983" s="1738"/>
      <c r="AA983" s="1738"/>
      <c r="AB983" s="1738"/>
      <c r="AC983" s="1738"/>
      <c r="AD983" s="1738"/>
      <c r="AE983" s="1738"/>
      <c r="AF983" s="1738"/>
      <c r="AG983" s="1739"/>
      <c r="AU983" s="68"/>
      <c r="AV983" s="95"/>
      <c r="AW983" s="95"/>
      <c r="AX983" s="95"/>
      <c r="AY983" s="95"/>
      <c r="AZ983" s="34"/>
      <c r="BB983" s="34"/>
      <c r="BC983" s="34"/>
      <c r="BD983" s="34"/>
      <c r="BE983" s="34"/>
      <c r="BF983" s="34"/>
      <c r="BG983" s="34"/>
      <c r="BH983" s="34"/>
      <c r="BI983" s="34"/>
      <c r="BJ983" s="34"/>
      <c r="BK983" s="34"/>
      <c r="BL983" s="34"/>
    </row>
    <row r="984" spans="1:64" ht="12.95" customHeight="1">
      <c r="F984" s="1585" t="s">
        <v>33</v>
      </c>
      <c r="G984" s="1296"/>
      <c r="H984" s="1296"/>
      <c r="I984" s="1296"/>
      <c r="J984" s="1296"/>
      <c r="K984" s="1296"/>
      <c r="L984" s="1296"/>
      <c r="M984" s="1621"/>
      <c r="N984" s="1622"/>
      <c r="O984" s="1622"/>
      <c r="P984" s="1622"/>
      <c r="Q984" s="1622"/>
      <c r="R984" s="1622"/>
      <c r="S984" s="1623"/>
      <c r="T984" s="47"/>
      <c r="U984" s="48"/>
      <c r="V984" s="48"/>
      <c r="W984" s="48"/>
      <c r="X984" s="48"/>
      <c r="Y984" s="48"/>
      <c r="Z984" s="124" t="s">
        <v>134</v>
      </c>
      <c r="AA984" s="1707"/>
      <c r="AB984" s="1708"/>
      <c r="AC984" s="1708"/>
      <c r="AD984" s="1708"/>
      <c r="AE984" s="1708"/>
      <c r="AF984" s="1708"/>
      <c r="AG984" s="1709"/>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71"/>
      <c r="BH985" s="1571"/>
      <c r="BI985" s="1571"/>
      <c r="BJ985" s="1571"/>
      <c r="BK985" s="1571"/>
      <c r="BL985" s="1571"/>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56" t="s">
        <v>546</v>
      </c>
      <c r="B988" s="1456"/>
      <c r="C988" s="1456"/>
      <c r="D988" s="1456"/>
      <c r="E988" s="1456"/>
      <c r="F988" s="1456"/>
      <c r="G988" s="1456"/>
      <c r="H988" s="1456"/>
      <c r="I988" s="1456"/>
      <c r="J988" s="1456"/>
      <c r="K988" s="1456"/>
      <c r="L988" s="1456"/>
      <c r="M988" s="1456"/>
      <c r="N988" s="1456"/>
      <c r="O988" s="1456"/>
      <c r="P988" s="1456"/>
      <c r="Q988" s="1456"/>
      <c r="R988" s="1456"/>
      <c r="S988" s="1456"/>
      <c r="T988" s="1456"/>
      <c r="U988" s="1456"/>
      <c r="V988" s="1456"/>
      <c r="W988" s="1456"/>
      <c r="X988" s="1456"/>
      <c r="Y988" s="1456"/>
      <c r="Z988" s="1456"/>
      <c r="AA988" s="1456"/>
      <c r="AB988" s="1456"/>
      <c r="AC988" s="1456"/>
      <c r="AD988" s="1456"/>
      <c r="AE988" s="1456"/>
      <c r="AF988" s="1456"/>
      <c r="AG988" s="1456"/>
      <c r="AH988" s="1456"/>
      <c r="AI988" s="1456"/>
      <c r="AJ988" s="1456"/>
      <c r="AK988" s="1456"/>
      <c r="AL988" s="1456"/>
      <c r="AM988" s="1456"/>
      <c r="AN988" s="1456"/>
      <c r="AO988" s="1456"/>
      <c r="AP988" s="1456"/>
      <c r="AQ988" s="1456"/>
      <c r="AR988" s="1456"/>
      <c r="AS988" s="1456"/>
      <c r="AT988" s="1456"/>
      <c r="AU988" s="68"/>
      <c r="AV988" s="68"/>
      <c r="AW988" s="68"/>
      <c r="AX988" s="68"/>
      <c r="AY988" s="68"/>
      <c r="AZ988" s="14"/>
      <c r="BA988" s="14"/>
      <c r="BB988" s="908"/>
      <c r="BC988" s="908"/>
    </row>
    <row r="989" spans="1:64" ht="12.95" customHeight="1">
      <c r="A989" s="1456"/>
      <c r="B989" s="1456"/>
      <c r="C989" s="1456"/>
      <c r="D989" s="1456"/>
      <c r="E989" s="1456"/>
      <c r="F989" s="1456"/>
      <c r="G989" s="1456"/>
      <c r="H989" s="1456"/>
      <c r="I989" s="1456"/>
      <c r="J989" s="1456"/>
      <c r="K989" s="1456"/>
      <c r="L989" s="1456"/>
      <c r="M989" s="1456"/>
      <c r="N989" s="1456"/>
      <c r="O989" s="1456"/>
      <c r="P989" s="1456"/>
      <c r="Q989" s="1456"/>
      <c r="R989" s="1456"/>
      <c r="S989" s="1456"/>
      <c r="T989" s="1456"/>
      <c r="U989" s="1456"/>
      <c r="V989" s="1456"/>
      <c r="W989" s="1456"/>
      <c r="X989" s="1456"/>
      <c r="Y989" s="1456"/>
      <c r="Z989" s="1456"/>
      <c r="AA989" s="1456"/>
      <c r="AB989" s="1456"/>
      <c r="AC989" s="1456"/>
      <c r="AD989" s="1456"/>
      <c r="AE989" s="1456"/>
      <c r="AF989" s="1456"/>
      <c r="AG989" s="1456"/>
      <c r="AH989" s="1456"/>
      <c r="AI989" s="1456"/>
      <c r="AJ989" s="1456"/>
      <c r="AK989" s="1456"/>
      <c r="AL989" s="1456"/>
      <c r="AM989" s="1456"/>
      <c r="AN989" s="1456"/>
      <c r="AO989" s="1456"/>
      <c r="AP989" s="1456"/>
      <c r="AQ989" s="1456"/>
      <c r="AR989" s="1456"/>
      <c r="AS989" s="1456"/>
      <c r="AT989" s="1456"/>
      <c r="AU989" s="68"/>
      <c r="AV989" s="68"/>
      <c r="AW989" s="68"/>
      <c r="AX989" s="68"/>
      <c r="AY989" s="68"/>
      <c r="AZ989" s="30"/>
      <c r="BA989" s="14"/>
      <c r="BB989" s="14"/>
      <c r="BC989" s="14"/>
    </row>
    <row r="990" spans="1:64" ht="12.95" customHeight="1">
      <c r="A990" s="1456"/>
      <c r="B990" s="1456"/>
      <c r="C990" s="1456"/>
      <c r="D990" s="1456"/>
      <c r="E990" s="1456"/>
      <c r="F990" s="1456"/>
      <c r="G990" s="1456"/>
      <c r="H990" s="1456"/>
      <c r="I990" s="1456"/>
      <c r="J990" s="1456"/>
      <c r="K990" s="1456"/>
      <c r="L990" s="1456"/>
      <c r="M990" s="1456"/>
      <c r="N990" s="1456"/>
      <c r="O990" s="1456"/>
      <c r="P990" s="1456"/>
      <c r="Q990" s="1456"/>
      <c r="R990" s="1456"/>
      <c r="S990" s="1456"/>
      <c r="T990" s="1456"/>
      <c r="U990" s="1456"/>
      <c r="V990" s="1456"/>
      <c r="W990" s="1456"/>
      <c r="X990" s="1456"/>
      <c r="Y990" s="1456"/>
      <c r="Z990" s="1456"/>
      <c r="AA990" s="1456"/>
      <c r="AB990" s="1456"/>
      <c r="AC990" s="1456"/>
      <c r="AD990" s="1456"/>
      <c r="AE990" s="1456"/>
      <c r="AF990" s="1456"/>
      <c r="AG990" s="1456"/>
      <c r="AH990" s="1456"/>
      <c r="AI990" s="1456"/>
      <c r="AJ990" s="1456"/>
      <c r="AK990" s="1456"/>
      <c r="AL990" s="1456"/>
      <c r="AM990" s="1456"/>
      <c r="AN990" s="1456"/>
      <c r="AO990" s="1456"/>
      <c r="AP990" s="1456"/>
      <c r="AQ990" s="1456"/>
      <c r="AR990" s="1456"/>
      <c r="AS990" s="1456"/>
      <c r="AT990" s="1456"/>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613</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33" t="s">
        <v>636</v>
      </c>
      <c r="E994" s="1734"/>
      <c r="F994" s="1734"/>
      <c r="G994" s="1734"/>
      <c r="H994" s="1734"/>
      <c r="I994" s="1734"/>
      <c r="J994" s="1734"/>
      <c r="K994" s="1734"/>
      <c r="L994" s="1734"/>
      <c r="M994" s="1734"/>
      <c r="N994" s="1734"/>
      <c r="O994" s="1734"/>
      <c r="P994" s="1734"/>
      <c r="Q994" s="1735"/>
      <c r="R994" s="1733" t="s">
        <v>637</v>
      </c>
      <c r="S994" s="1734"/>
      <c r="T994" s="1734"/>
      <c r="U994" s="1734"/>
      <c r="V994" s="1734"/>
      <c r="W994" s="1734"/>
      <c r="X994" s="1734"/>
      <c r="Y994" s="1734"/>
      <c r="Z994" s="1734"/>
      <c r="AA994" s="1735"/>
      <c r="AB994" s="1733" t="s">
        <v>638</v>
      </c>
      <c r="AC994" s="1734"/>
      <c r="AD994" s="1734"/>
      <c r="AE994" s="1734"/>
      <c r="AF994" s="1734"/>
      <c r="AG994" s="1734"/>
      <c r="AH994" s="1734"/>
      <c r="AI994" s="1735"/>
      <c r="AJ994" s="1733" t="s">
        <v>639</v>
      </c>
      <c r="AK994" s="1734"/>
      <c r="AL994" s="1734"/>
      <c r="AM994" s="1734"/>
      <c r="AN994" s="1734"/>
      <c r="AO994" s="1734"/>
      <c r="AP994" s="1734"/>
      <c r="AQ994" s="1735"/>
      <c r="AR994" s="68"/>
      <c r="AS994" s="68"/>
      <c r="AT994" s="68"/>
      <c r="AU994" s="68"/>
      <c r="AV994" s="68"/>
      <c r="AW994" s="68"/>
      <c r="AX994" s="68"/>
      <c r="AY994" s="68"/>
      <c r="AZ994" s="30"/>
      <c r="BB994" s="14"/>
      <c r="BC994" s="14"/>
    </row>
    <row r="995" spans="1:55" ht="12.95" customHeight="1">
      <c r="A995" s="14"/>
      <c r="B995" s="73"/>
      <c r="C995" s="925"/>
      <c r="D995" s="1601" t="s">
        <v>631</v>
      </c>
      <c r="E995" s="1602"/>
      <c r="F995" s="1602"/>
      <c r="G995" s="1602"/>
      <c r="H995" s="1602"/>
      <c r="I995" s="1602"/>
      <c r="J995" s="1602"/>
      <c r="K995" s="1602"/>
      <c r="L995" s="1602"/>
      <c r="M995" s="1602"/>
      <c r="N995" s="1602"/>
      <c r="O995" s="1602"/>
      <c r="P995" s="1602"/>
      <c r="Q995" s="1603"/>
      <c r="R995" s="1664">
        <f>IF(ISNA(IF($CU$122="4%",(INDEX($CS$160:$CW$217,MATCH($DG$122,$CR$160:$CR$217,0),MATCH(D995,$CS$159:$CW$159,0))),(INDEX($CZ$160:$DD$217,MATCH($DG$122,$CY$160:$CY$217,0),MATCH(D995,$CZ$159:$DD$159,0))))),0,IF($CU$122="4%",(INDEX($CS$160:$CW$217,MATCH($DG$122,$CR$160:$CR$217,0),MATCH(D995,$CS$159:$CW$159,0))),(INDEX($CZ$160:$DD$217,MATCH($DG$122,$CY$160:$CY$217,0),MATCH(D995,$CZ$159:$DD$159,0)))))</f>
        <v>381933</v>
      </c>
      <c r="S995" s="1664"/>
      <c r="T995" s="1664"/>
      <c r="U995" s="1664"/>
      <c r="V995" s="1664"/>
      <c r="W995" s="1664"/>
      <c r="X995" s="1664"/>
      <c r="Y995" s="1664"/>
      <c r="Z995" s="1664"/>
      <c r="AA995" s="1664"/>
      <c r="AB995" s="1661">
        <f>CP810</f>
        <v>0</v>
      </c>
      <c r="AC995" s="1662"/>
      <c r="AD995" s="1662"/>
      <c r="AE995" s="1662"/>
      <c r="AF995" s="1662"/>
      <c r="AG995" s="1662"/>
      <c r="AH995" s="1662"/>
      <c r="AI995" s="1663"/>
      <c r="AJ995" s="1633">
        <f>IF(ISERROR((R995*AB995)),0,(R995*AB995))</f>
        <v>0</v>
      </c>
      <c r="AK995" s="1634"/>
      <c r="AL995" s="1634"/>
      <c r="AM995" s="1634"/>
      <c r="AN995" s="1634"/>
      <c r="AO995" s="1634"/>
      <c r="AP995" s="1634"/>
      <c r="AQ995" s="1635"/>
      <c r="AR995" s="68"/>
      <c r="AS995" s="68"/>
      <c r="AT995" s="68"/>
      <c r="AU995" s="68"/>
      <c r="AV995" s="68"/>
      <c r="AW995" s="68"/>
      <c r="AX995" s="68"/>
      <c r="AY995" s="68"/>
      <c r="AZ995" s="30"/>
      <c r="BB995" s="14"/>
      <c r="BC995" s="14"/>
    </row>
    <row r="996" spans="1:55" ht="12.95" customHeight="1">
      <c r="A996" s="14"/>
      <c r="B996" s="73"/>
      <c r="C996" s="83"/>
      <c r="D996" s="1601" t="s">
        <v>324</v>
      </c>
      <c r="E996" s="1602"/>
      <c r="F996" s="1602"/>
      <c r="G996" s="1602"/>
      <c r="H996" s="1602"/>
      <c r="I996" s="1602"/>
      <c r="J996" s="1602"/>
      <c r="K996" s="1602"/>
      <c r="L996" s="1602"/>
      <c r="M996" s="1602"/>
      <c r="N996" s="1602"/>
      <c r="O996" s="1602"/>
      <c r="P996" s="1602"/>
      <c r="Q996" s="1603"/>
      <c r="R996" s="1664">
        <f>IF(ISNA(IF($CU$122="4%",(INDEX($CS$160:$CW$217,MATCH($DG$122,$CR$160:$CR$217,0),MATCH(D996,$CS$159:$CW$159,0))),(INDEX($CZ$160:$DD$217,MATCH($DG$122,$CY$160:$CY$217,0),MATCH(D996,$CZ$159:$DD$159,0))))),0,IF($CU$122="4%",(INDEX($CS$160:$CW$217,MATCH($DG$122,$CR$160:$CR$217,0),MATCH(D996,$CS$159:$CW$159,0))),(INDEX($CZ$160:$DD$217,MATCH($DG$122,$CY$160:$CY$217,0),MATCH(D996,$CZ$159:$DD$159,0)))))</f>
        <v>440365</v>
      </c>
      <c r="S996" s="1664"/>
      <c r="T996" s="1664"/>
      <c r="U996" s="1664"/>
      <c r="V996" s="1664"/>
      <c r="W996" s="1664"/>
      <c r="X996" s="1664"/>
      <c r="Y996" s="1664"/>
      <c r="Z996" s="1664"/>
      <c r="AA996" s="1664"/>
      <c r="AB996" s="1661">
        <f>CU810</f>
        <v>36</v>
      </c>
      <c r="AC996" s="1662"/>
      <c r="AD996" s="1662"/>
      <c r="AE996" s="1662"/>
      <c r="AF996" s="1662"/>
      <c r="AG996" s="1662"/>
      <c r="AH996" s="1662"/>
      <c r="AI996" s="1663"/>
      <c r="AJ996" s="1633">
        <f>IF(ISERROR((R996*AB996)),0,(R996*AB996))</f>
        <v>15853140</v>
      </c>
      <c r="AK996" s="1634"/>
      <c r="AL996" s="1634"/>
      <c r="AM996" s="1634"/>
      <c r="AN996" s="1634"/>
      <c r="AO996" s="1634"/>
      <c r="AP996" s="1634"/>
      <c r="AQ996" s="1635"/>
      <c r="AR996" s="68"/>
      <c r="AS996" s="68"/>
      <c r="AT996" s="68"/>
      <c r="AU996" s="68"/>
      <c r="AV996" s="68"/>
      <c r="AW996" s="68"/>
      <c r="AX996" s="68"/>
      <c r="AY996" s="68"/>
      <c r="AZ996" s="30"/>
      <c r="BB996" s="14"/>
      <c r="BC996" s="14"/>
    </row>
    <row r="997" spans="1:55" ht="12.95" customHeight="1">
      <c r="A997" s="14"/>
      <c r="B997" s="73"/>
      <c r="C997" s="83"/>
      <c r="D997" s="1601" t="s">
        <v>163</v>
      </c>
      <c r="E997" s="1602"/>
      <c r="F997" s="1602"/>
      <c r="G997" s="1602"/>
      <c r="H997" s="1602"/>
      <c r="I997" s="1602"/>
      <c r="J997" s="1602"/>
      <c r="K997" s="1602"/>
      <c r="L997" s="1602"/>
      <c r="M997" s="1602"/>
      <c r="N997" s="1602"/>
      <c r="O997" s="1602"/>
      <c r="P997" s="1602"/>
      <c r="Q997" s="1603"/>
      <c r="R997" s="1664">
        <f>IF(ISNA(IF($CU$122="4%",(INDEX($CS$160:$CW$217,MATCH($DG$122,$CR$160:$CR$217,0),MATCH(D997,$CS$159:$CW$159,0))),(INDEX($CZ$160:$DD$217,MATCH($DG$122,$CY$160:$CY$217,0),MATCH(D997,$CZ$159:$DD$159,0))))),0,IF($CU$122="4%",(INDEX($CS$160:$CW$217,MATCH($DG$122,$CR$160:$CR$217,0),MATCH(D997,$CS$159:$CW$159,0))),(INDEX($CZ$160:$DD$217,MATCH($DG$122,$CY$160:$CY$217,0),MATCH(D997,$CZ$159:$DD$159,0)))))</f>
        <v>531200</v>
      </c>
      <c r="S997" s="1664"/>
      <c r="T997" s="1664"/>
      <c r="U997" s="1664"/>
      <c r="V997" s="1664"/>
      <c r="W997" s="1664"/>
      <c r="X997" s="1664"/>
      <c r="Y997" s="1664"/>
      <c r="Z997" s="1664"/>
      <c r="AA997" s="1664"/>
      <c r="AB997" s="1661">
        <f>CZ810</f>
        <v>84</v>
      </c>
      <c r="AC997" s="1662"/>
      <c r="AD997" s="1662"/>
      <c r="AE997" s="1662"/>
      <c r="AF997" s="1662"/>
      <c r="AG997" s="1662"/>
      <c r="AH997" s="1662"/>
      <c r="AI997" s="1663"/>
      <c r="AJ997" s="1633">
        <f>IF(ISERROR((R997*AB997)),0,(R997*AB997))</f>
        <v>44620800</v>
      </c>
      <c r="AK997" s="1634"/>
      <c r="AL997" s="1634"/>
      <c r="AM997" s="1634"/>
      <c r="AN997" s="1634"/>
      <c r="AO997" s="1634"/>
      <c r="AP997" s="1634"/>
      <c r="AQ997" s="1635"/>
      <c r="AR997" s="68"/>
      <c r="AS997" s="68"/>
      <c r="AT997" s="68"/>
      <c r="AU997" s="68"/>
      <c r="AV997" s="68"/>
      <c r="AW997" s="68"/>
      <c r="AX997" s="68"/>
      <c r="AY997" s="68"/>
      <c r="AZ997" s="30"/>
      <c r="BB997" s="14"/>
      <c r="BC997" s="14"/>
    </row>
    <row r="998" spans="1:55" ht="12.95" customHeight="1">
      <c r="A998" s="14"/>
      <c r="B998" s="73"/>
      <c r="C998" s="83"/>
      <c r="D998" s="1601" t="s">
        <v>164</v>
      </c>
      <c r="E998" s="1602"/>
      <c r="F998" s="1602"/>
      <c r="G998" s="1602"/>
      <c r="H998" s="1602"/>
      <c r="I998" s="1602"/>
      <c r="J998" s="1602"/>
      <c r="K998" s="1602"/>
      <c r="L998" s="1602"/>
      <c r="M998" s="1602"/>
      <c r="N998" s="1602"/>
      <c r="O998" s="1602"/>
      <c r="P998" s="1602"/>
      <c r="Q998" s="1603"/>
      <c r="R998" s="1664">
        <f>IF(ISNA(IF($CU$122="4%",(INDEX($CS$160:$CW$217,MATCH($DG$122,$CR$160:$CR$217,0),MATCH(D998,$CS$159:$CW$159,0))),(INDEX($CZ$160:$DD$217,MATCH($DG$122,$CY$160:$CY$217,0),MATCH(D998,$CZ$159:$DD$159,0))))),0,IF($CU$122="4%",(INDEX($CS$160:$CW$217,MATCH($DG$122,$CR$160:$CR$217,0),MATCH(D998,$CS$159:$CW$159,0))),(INDEX($CZ$160:$DD$217,MATCH($DG$122,$CY$160:$CY$217,0),MATCH(D998,$CZ$159:$DD$159,0)))))</f>
        <v>679936</v>
      </c>
      <c r="S998" s="1664"/>
      <c r="T998" s="1664"/>
      <c r="U998" s="1664"/>
      <c r="V998" s="1664"/>
      <c r="W998" s="1664"/>
      <c r="X998" s="1664"/>
      <c r="Y998" s="1664"/>
      <c r="Z998" s="1664"/>
      <c r="AA998" s="1664"/>
      <c r="AB998" s="1661">
        <f>DE810</f>
        <v>84</v>
      </c>
      <c r="AC998" s="1662"/>
      <c r="AD998" s="1662"/>
      <c r="AE998" s="1662"/>
      <c r="AF998" s="1662"/>
      <c r="AG998" s="1662"/>
      <c r="AH998" s="1662"/>
      <c r="AI998" s="1663"/>
      <c r="AJ998" s="1633">
        <f>IF(ISERROR((R998*AB998)),0,(R998*AB998))</f>
        <v>57114624</v>
      </c>
      <c r="AK998" s="1634"/>
      <c r="AL998" s="1634"/>
      <c r="AM998" s="1634"/>
      <c r="AN998" s="1634"/>
      <c r="AO998" s="1634"/>
      <c r="AP998" s="1634"/>
      <c r="AQ998" s="1635"/>
      <c r="AR998" s="68"/>
      <c r="AS998" s="68"/>
      <c r="AT998" s="68"/>
      <c r="AU998" s="68"/>
      <c r="AV998" s="68"/>
      <c r="AW998" s="68"/>
      <c r="AX998" s="68"/>
      <c r="AY998" s="68"/>
      <c r="AZ998" s="30"/>
      <c r="BA998" s="34"/>
      <c r="BB998" s="14"/>
      <c r="BC998" s="14"/>
    </row>
    <row r="999" spans="1:55" ht="12.95" customHeight="1">
      <c r="A999" s="14"/>
      <c r="B999" s="47"/>
      <c r="C999" s="78"/>
      <c r="D999" s="1601" t="s">
        <v>458</v>
      </c>
      <c r="E999" s="1602"/>
      <c r="F999" s="1602"/>
      <c r="G999" s="1602"/>
      <c r="H999" s="1602"/>
      <c r="I999" s="1602"/>
      <c r="J999" s="1602"/>
      <c r="K999" s="1602"/>
      <c r="L999" s="1602"/>
      <c r="M999" s="1602"/>
      <c r="N999" s="1602"/>
      <c r="O999" s="1602"/>
      <c r="P999" s="1602"/>
      <c r="Q999" s="1603"/>
      <c r="R999" s="1664">
        <f>IF(ISNA(IF($CU$122="4%",(INDEX($CS$160:$CW$217,MATCH($DG$122,$CR$160:$CR$217,0),MATCH(D999,$CS$159:$CW$159,0))),(INDEX($CZ$160:$DD$217,MATCH($DG$122,$CY$160:$CY$217,0),MATCH(D999,$CZ$159:$DD$159,0))))),0,IF($CU$122="4%",(INDEX($CS$160:$CW$217,MATCH($DG$122,$CR$160:$CR$217,0),MATCH(D999,$CS$159:$CW$159,0))),(INDEX($CZ$160:$DD$217,MATCH($DG$122,$CY$160:$CY$217,0),MATCH(D999,$CZ$159:$DD$159,0)))))</f>
        <v>757491</v>
      </c>
      <c r="S999" s="1664"/>
      <c r="T999" s="1664"/>
      <c r="U999" s="1664"/>
      <c r="V999" s="1664"/>
      <c r="W999" s="1664"/>
      <c r="X999" s="1664"/>
      <c r="Y999" s="1664"/>
      <c r="Z999" s="1664"/>
      <c r="AA999" s="1664"/>
      <c r="AB999" s="1661">
        <f>DO810+DJ810</f>
        <v>36</v>
      </c>
      <c r="AC999" s="1662"/>
      <c r="AD999" s="1662"/>
      <c r="AE999" s="1662"/>
      <c r="AF999" s="1662"/>
      <c r="AG999" s="1662"/>
      <c r="AH999" s="1662"/>
      <c r="AI999" s="1663"/>
      <c r="AJ999" s="1633">
        <f>IF(ISERROR((R999*AB999)),0,(R999*AB999))</f>
        <v>27269676</v>
      </c>
      <c r="AK999" s="1634"/>
      <c r="AL999" s="1634"/>
      <c r="AM999" s="1634"/>
      <c r="AN999" s="1634"/>
      <c r="AO999" s="1634"/>
      <c r="AP999" s="1634"/>
      <c r="AQ999" s="1635"/>
      <c r="AR999" s="68"/>
      <c r="AS999" s="68"/>
      <c r="AT999" s="68"/>
      <c r="AU999" s="68"/>
      <c r="AV999" s="68"/>
      <c r="AW999" s="68"/>
      <c r="AX999" s="68"/>
      <c r="AY999" s="68"/>
      <c r="AZ999" s="30"/>
      <c r="BB999" s="14"/>
      <c r="BC999" s="14"/>
    </row>
    <row r="1000" spans="1:55" ht="12.95" customHeight="1">
      <c r="A1000" s="14"/>
      <c r="B1000" s="1692" t="s">
        <v>789</v>
      </c>
      <c r="C1000" s="1693"/>
      <c r="D1000" s="1693"/>
      <c r="E1000" s="1693"/>
      <c r="F1000" s="1693"/>
      <c r="G1000" s="1693"/>
      <c r="H1000" s="1693"/>
      <c r="I1000" s="1693"/>
      <c r="J1000" s="1693"/>
      <c r="K1000" s="1693"/>
      <c r="L1000" s="1693"/>
      <c r="M1000" s="1693"/>
      <c r="N1000" s="1693"/>
      <c r="O1000" s="1693"/>
      <c r="P1000" s="1693"/>
      <c r="Q1000" s="1693"/>
      <c r="R1000" s="1693"/>
      <c r="S1000" s="1693"/>
      <c r="T1000" s="1693"/>
      <c r="U1000" s="1693"/>
      <c r="V1000" s="1693"/>
      <c r="W1000" s="1693"/>
      <c r="X1000" s="1693"/>
      <c r="Y1000" s="1693"/>
      <c r="Z1000" s="1693"/>
      <c r="AA1000" s="1694"/>
      <c r="AB1000" s="1661">
        <f>SUM(AB995:AI999)</f>
        <v>240</v>
      </c>
      <c r="AC1000" s="1662"/>
      <c r="AD1000" s="1662"/>
      <c r="AE1000" s="1662"/>
      <c r="AF1000" s="1662"/>
      <c r="AG1000" s="1662"/>
      <c r="AH1000" s="1662"/>
      <c r="AI1000" s="1663"/>
      <c r="AJ1000" s="1633"/>
      <c r="AK1000" s="1634"/>
      <c r="AL1000" s="1634"/>
      <c r="AM1000" s="1634"/>
      <c r="AN1000" s="1634"/>
      <c r="AO1000" s="1634"/>
      <c r="AP1000" s="1634"/>
      <c r="AQ1000" s="1635"/>
      <c r="AR1000" s="68"/>
      <c r="AS1000" s="68"/>
      <c r="AT1000" s="68"/>
      <c r="AU1000" s="68"/>
      <c r="AV1000" s="68"/>
      <c r="AW1000" s="68"/>
      <c r="AX1000" s="68"/>
      <c r="AY1000" s="68"/>
      <c r="AZ1000" s="34"/>
      <c r="BA1000" s="34"/>
      <c r="BB1000" s="14"/>
      <c r="BC1000" s="14"/>
    </row>
    <row r="1001" spans="1:55" ht="12.95" customHeight="1">
      <c r="A1001" s="14"/>
      <c r="B1001" s="1686" t="s">
        <v>510</v>
      </c>
      <c r="C1001" s="1687"/>
      <c r="D1001" s="1687"/>
      <c r="E1001" s="1687"/>
      <c r="F1001" s="1687"/>
      <c r="G1001" s="1687"/>
      <c r="H1001" s="1687"/>
      <c r="I1001" s="1687"/>
      <c r="J1001" s="1687"/>
      <c r="K1001" s="1687"/>
      <c r="L1001" s="1687"/>
      <c r="M1001" s="1687"/>
      <c r="N1001" s="1687"/>
      <c r="O1001" s="1687"/>
      <c r="P1001" s="1687"/>
      <c r="Q1001" s="1687"/>
      <c r="R1001" s="1687"/>
      <c r="S1001" s="1687"/>
      <c r="T1001" s="1687"/>
      <c r="U1001" s="1687"/>
      <c r="V1001" s="1687"/>
      <c r="W1001" s="1687"/>
      <c r="X1001" s="1687"/>
      <c r="Y1001" s="1687"/>
      <c r="Z1001" s="1687"/>
      <c r="AA1001" s="1687"/>
      <c r="AB1001" s="1687"/>
      <c r="AC1001" s="1687"/>
      <c r="AD1001" s="1687"/>
      <c r="AE1001" s="1687"/>
      <c r="AF1001" s="1687"/>
      <c r="AG1001" s="1687"/>
      <c r="AH1001" s="1687"/>
      <c r="AI1001" s="1688"/>
      <c r="AJ1001" s="1633">
        <f>SUM(AJ995:AQ999)</f>
        <v>144858240</v>
      </c>
      <c r="AK1001" s="1634"/>
      <c r="AL1001" s="1634"/>
      <c r="AM1001" s="1634"/>
      <c r="AN1001" s="1634"/>
      <c r="AO1001" s="1634"/>
      <c r="AP1001" s="1634"/>
      <c r="AQ1001" s="1635"/>
      <c r="AR1001" s="68"/>
      <c r="AS1001" s="68"/>
      <c r="AT1001" s="68"/>
      <c r="AU1001" s="68"/>
      <c r="AV1001" s="68"/>
      <c r="AW1001" s="68"/>
      <c r="AX1001" s="68"/>
      <c r="AY1001" s="68"/>
      <c r="AZ1001" s="34"/>
      <c r="BB1001" s="34"/>
      <c r="BC1001" s="34"/>
    </row>
    <row r="1002" spans="1:55" ht="12.95" customHeight="1">
      <c r="A1002" s="14"/>
      <c r="B1002" s="1683"/>
      <c r="C1002" s="1684"/>
      <c r="D1002" s="1684"/>
      <c r="E1002" s="1684"/>
      <c r="F1002" s="1684"/>
      <c r="G1002" s="1684"/>
      <c r="H1002" s="1684"/>
      <c r="I1002" s="1684"/>
      <c r="J1002" s="1684"/>
      <c r="K1002" s="1684"/>
      <c r="L1002" s="1684"/>
      <c r="M1002" s="1684"/>
      <c r="N1002" s="1684"/>
      <c r="O1002" s="1684"/>
      <c r="P1002" s="1684"/>
      <c r="Q1002" s="1684"/>
      <c r="R1002" s="1684"/>
      <c r="S1002" s="1684"/>
      <c r="T1002" s="1684"/>
      <c r="U1002" s="1684"/>
      <c r="V1002" s="1684"/>
      <c r="W1002" s="1684"/>
      <c r="X1002" s="1684"/>
      <c r="Y1002" s="1684"/>
      <c r="Z1002" s="1684"/>
      <c r="AA1002" s="1684"/>
      <c r="AB1002" s="1684"/>
      <c r="AC1002" s="1684"/>
      <c r="AD1002" s="1684"/>
      <c r="AE1002" s="1685"/>
      <c r="AF1002" s="1710" t="s">
        <v>664</v>
      </c>
      <c r="AG1002" s="1711"/>
      <c r="AH1002" s="1711"/>
      <c r="AI1002" s="1712"/>
      <c r="AJ1002" s="1683"/>
      <c r="AK1002" s="1684"/>
      <c r="AL1002" s="1684"/>
      <c r="AM1002" s="1684"/>
      <c r="AN1002" s="1684"/>
      <c r="AO1002" s="1684"/>
      <c r="AP1002" s="1684"/>
      <c r="AQ1002" s="1685"/>
      <c r="AR1002" s="68"/>
      <c r="AS1002" s="68"/>
      <c r="AT1002" s="68"/>
      <c r="AU1002" s="68"/>
      <c r="AV1002" s="68"/>
      <c r="AW1002" s="68"/>
      <c r="AX1002" s="68"/>
      <c r="AY1002" s="68"/>
      <c r="AZ1002" s="34"/>
      <c r="BA1002" s="34"/>
      <c r="BB1002" s="34"/>
      <c r="BC1002" s="34"/>
    </row>
    <row r="1003" spans="1:55" ht="12.95" customHeight="1">
      <c r="A1003" s="14"/>
      <c r="B1003" s="73"/>
      <c r="C1003" s="923" t="s">
        <v>666</v>
      </c>
      <c r="D1003" s="1689" t="s">
        <v>1218</v>
      </c>
      <c r="E1003" s="1690"/>
      <c r="F1003" s="1690"/>
      <c r="G1003" s="1690"/>
      <c r="H1003" s="1690"/>
      <c r="I1003" s="1690"/>
      <c r="J1003" s="1690"/>
      <c r="K1003" s="1690"/>
      <c r="L1003" s="1690"/>
      <c r="M1003" s="1690"/>
      <c r="N1003" s="1690"/>
      <c r="O1003" s="1690"/>
      <c r="P1003" s="1690"/>
      <c r="Q1003" s="1690"/>
      <c r="R1003" s="1690"/>
      <c r="S1003" s="1690"/>
      <c r="T1003" s="1690"/>
      <c r="U1003" s="1690"/>
      <c r="V1003" s="1690"/>
      <c r="W1003" s="1690"/>
      <c r="X1003" s="1690"/>
      <c r="Y1003" s="1690"/>
      <c r="Z1003" s="1690"/>
      <c r="AA1003" s="1690"/>
      <c r="AB1003" s="1690"/>
      <c r="AC1003" s="1690"/>
      <c r="AD1003" s="1690"/>
      <c r="AE1003" s="1691"/>
      <c r="AF1003" s="79"/>
      <c r="AG1003" s="1713" t="s">
        <v>667</v>
      </c>
      <c r="AH1003" s="1714"/>
      <c r="AI1003" s="87"/>
      <c r="AJ1003" s="1668">
        <f>ROUND(IF(AND(AG1003="yes",D1009&gt;0),AJ1001*0.2,0),0)</f>
        <v>0</v>
      </c>
      <c r="AK1003" s="1669"/>
      <c r="AL1003" s="1669"/>
      <c r="AM1003" s="1669"/>
      <c r="AN1003" s="1669"/>
      <c r="AO1003" s="1669"/>
      <c r="AP1003" s="1669"/>
      <c r="AQ1003" s="1670"/>
      <c r="AR1003" s="68"/>
      <c r="AS1003" s="68"/>
      <c r="AT1003" s="68"/>
      <c r="AU1003" s="68"/>
      <c r="AV1003" s="68"/>
      <c r="AW1003" s="68"/>
      <c r="AX1003" s="68"/>
      <c r="AY1003" s="68"/>
      <c r="AZ1003" s="34"/>
      <c r="BA1003" s="34"/>
      <c r="BB1003" s="34"/>
      <c r="BC1003" s="34"/>
    </row>
    <row r="1004" spans="1:55" ht="12.95" customHeight="1">
      <c r="A1004" s="14"/>
      <c r="B1004" s="257"/>
      <c r="C1004" s="256"/>
      <c r="D1004" s="1724" t="s">
        <v>2186</v>
      </c>
      <c r="E1004" s="1725"/>
      <c r="F1004" s="1725"/>
      <c r="G1004" s="1725"/>
      <c r="H1004" s="1725"/>
      <c r="I1004" s="1725"/>
      <c r="J1004" s="1725"/>
      <c r="K1004" s="1725"/>
      <c r="L1004" s="1725"/>
      <c r="M1004" s="1725"/>
      <c r="N1004" s="1725"/>
      <c r="O1004" s="1725"/>
      <c r="P1004" s="1725"/>
      <c r="Q1004" s="1725"/>
      <c r="R1004" s="1725"/>
      <c r="S1004" s="1725"/>
      <c r="T1004" s="1725"/>
      <c r="U1004" s="1725"/>
      <c r="V1004" s="1725"/>
      <c r="W1004" s="1725"/>
      <c r="X1004" s="1725"/>
      <c r="Y1004" s="1725"/>
      <c r="Z1004" s="1725"/>
      <c r="AA1004" s="1725"/>
      <c r="AB1004" s="1725"/>
      <c r="AC1004" s="1725"/>
      <c r="AD1004" s="1725"/>
      <c r="AE1004" s="1726"/>
      <c r="AF1004" s="73"/>
      <c r="AG1004" s="14"/>
      <c r="AH1004" s="14"/>
      <c r="AI1004" s="83"/>
      <c r="AJ1004" s="1671"/>
      <c r="AK1004" s="1672"/>
      <c r="AL1004" s="1672"/>
      <c r="AM1004" s="1672"/>
      <c r="AN1004" s="1672"/>
      <c r="AO1004" s="1672"/>
      <c r="AP1004" s="1672"/>
      <c r="AQ1004" s="1673"/>
      <c r="AR1004" s="68"/>
      <c r="AS1004" s="68"/>
      <c r="AT1004" s="68"/>
      <c r="AU1004" s="68"/>
      <c r="AV1004" s="68"/>
      <c r="AW1004" s="68"/>
      <c r="AX1004" s="68"/>
      <c r="AY1004" s="68"/>
      <c r="AZ1004" s="34"/>
      <c r="BA1004" s="34"/>
      <c r="BB1004" s="34"/>
      <c r="BC1004" s="34"/>
    </row>
    <row r="1005" spans="1:55" ht="12.95" customHeight="1">
      <c r="A1005" s="14"/>
      <c r="B1005" s="257"/>
      <c r="C1005" s="256"/>
      <c r="D1005" s="1724"/>
      <c r="E1005" s="1725"/>
      <c r="F1005" s="1725"/>
      <c r="G1005" s="1725"/>
      <c r="H1005" s="1725"/>
      <c r="I1005" s="1725"/>
      <c r="J1005" s="1725"/>
      <c r="K1005" s="1725"/>
      <c r="L1005" s="1725"/>
      <c r="M1005" s="1725"/>
      <c r="N1005" s="1725"/>
      <c r="O1005" s="1725"/>
      <c r="P1005" s="1725"/>
      <c r="Q1005" s="1725"/>
      <c r="R1005" s="1725"/>
      <c r="S1005" s="1725"/>
      <c r="T1005" s="1725"/>
      <c r="U1005" s="1725"/>
      <c r="V1005" s="1725"/>
      <c r="W1005" s="1725"/>
      <c r="X1005" s="1725"/>
      <c r="Y1005" s="1725"/>
      <c r="Z1005" s="1725"/>
      <c r="AA1005" s="1725"/>
      <c r="AB1005" s="1725"/>
      <c r="AC1005" s="1725"/>
      <c r="AD1005" s="1725"/>
      <c r="AE1005" s="1726"/>
      <c r="AF1005" s="73"/>
      <c r="AG1005" s="14"/>
      <c r="AH1005" s="14"/>
      <c r="AI1005" s="83"/>
      <c r="AJ1005" s="1671"/>
      <c r="AK1005" s="1672"/>
      <c r="AL1005" s="1672"/>
      <c r="AM1005" s="1672"/>
      <c r="AN1005" s="1672"/>
      <c r="AO1005" s="1672"/>
      <c r="AP1005" s="1672"/>
      <c r="AQ1005" s="1673"/>
      <c r="AR1005" s="68"/>
      <c r="AS1005" s="68"/>
      <c r="AT1005" s="68"/>
      <c r="AU1005" s="68"/>
      <c r="AV1005" s="68"/>
      <c r="AW1005" s="68"/>
      <c r="AX1005" s="68"/>
      <c r="AY1005" s="68"/>
      <c r="AZ1005" s="34"/>
      <c r="BA1005" s="34"/>
      <c r="BB1005" s="34"/>
      <c r="BC1005" s="34"/>
    </row>
    <row r="1006" spans="1:55" ht="12.95" customHeight="1">
      <c r="A1006" s="14"/>
      <c r="B1006" s="257"/>
      <c r="C1006" s="256"/>
      <c r="D1006" s="1724"/>
      <c r="E1006" s="1725"/>
      <c r="F1006" s="1725"/>
      <c r="G1006" s="1725"/>
      <c r="H1006" s="1725"/>
      <c r="I1006" s="1725"/>
      <c r="J1006" s="1725"/>
      <c r="K1006" s="1725"/>
      <c r="L1006" s="1725"/>
      <c r="M1006" s="1725"/>
      <c r="N1006" s="1725"/>
      <c r="O1006" s="1725"/>
      <c r="P1006" s="1725"/>
      <c r="Q1006" s="1725"/>
      <c r="R1006" s="1725"/>
      <c r="S1006" s="1725"/>
      <c r="T1006" s="1725"/>
      <c r="U1006" s="1725"/>
      <c r="V1006" s="1725"/>
      <c r="W1006" s="1725"/>
      <c r="X1006" s="1725"/>
      <c r="Y1006" s="1725"/>
      <c r="Z1006" s="1725"/>
      <c r="AA1006" s="1725"/>
      <c r="AB1006" s="1725"/>
      <c r="AC1006" s="1725"/>
      <c r="AD1006" s="1725"/>
      <c r="AE1006" s="1726"/>
      <c r="AF1006" s="73"/>
      <c r="AG1006" s="14"/>
      <c r="AH1006" s="14"/>
      <c r="AI1006" s="83"/>
      <c r="AJ1006" s="1671"/>
      <c r="AK1006" s="1672"/>
      <c r="AL1006" s="1672"/>
      <c r="AM1006" s="1672"/>
      <c r="AN1006" s="1672"/>
      <c r="AO1006" s="1672"/>
      <c r="AP1006" s="1672"/>
      <c r="AQ1006" s="1673"/>
      <c r="AR1006" s="68"/>
      <c r="AS1006" s="68"/>
      <c r="AT1006" s="68"/>
      <c r="AU1006" s="68"/>
      <c r="AV1006" s="68"/>
      <c r="AW1006" s="68"/>
      <c r="AX1006" s="68"/>
      <c r="AY1006" s="68"/>
      <c r="AZ1006" s="34"/>
      <c r="BA1006" s="34"/>
      <c r="BB1006" s="34"/>
      <c r="BC1006" s="34"/>
    </row>
    <row r="1007" spans="1:55" ht="12.95" customHeight="1">
      <c r="A1007" s="14"/>
      <c r="B1007" s="257"/>
      <c r="C1007" s="256"/>
      <c r="D1007" s="1724"/>
      <c r="E1007" s="1725"/>
      <c r="F1007" s="1725"/>
      <c r="G1007" s="1725"/>
      <c r="H1007" s="1725"/>
      <c r="I1007" s="1725"/>
      <c r="J1007" s="1725"/>
      <c r="K1007" s="1725"/>
      <c r="L1007" s="1725"/>
      <c r="M1007" s="1725"/>
      <c r="N1007" s="1725"/>
      <c r="O1007" s="1725"/>
      <c r="P1007" s="1725"/>
      <c r="Q1007" s="1725"/>
      <c r="R1007" s="1725"/>
      <c r="S1007" s="1725"/>
      <c r="T1007" s="1725"/>
      <c r="U1007" s="1725"/>
      <c r="V1007" s="1725"/>
      <c r="W1007" s="1725"/>
      <c r="X1007" s="1725"/>
      <c r="Y1007" s="1725"/>
      <c r="Z1007" s="1725"/>
      <c r="AA1007" s="1725"/>
      <c r="AB1007" s="1725"/>
      <c r="AC1007" s="1725"/>
      <c r="AD1007" s="1725"/>
      <c r="AE1007" s="1726"/>
      <c r="AF1007" s="73"/>
      <c r="AG1007" s="14"/>
      <c r="AH1007" s="14"/>
      <c r="AI1007" s="83"/>
      <c r="AJ1007" s="1671"/>
      <c r="AK1007" s="1672"/>
      <c r="AL1007" s="1672"/>
      <c r="AM1007" s="1672"/>
      <c r="AN1007" s="1672"/>
      <c r="AO1007" s="1672"/>
      <c r="AP1007" s="1672"/>
      <c r="AQ1007" s="1673"/>
      <c r="AR1007" s="68"/>
      <c r="AS1007" s="68"/>
      <c r="AT1007" s="68"/>
      <c r="AU1007" s="68"/>
      <c r="AV1007" s="68"/>
      <c r="AW1007" s="68"/>
      <c r="AX1007" s="68"/>
      <c r="AY1007" s="68"/>
      <c r="AZ1007" s="34"/>
      <c r="BA1007" s="34"/>
      <c r="BB1007" s="34"/>
      <c r="BC1007" s="34"/>
    </row>
    <row r="1008" spans="1:55" ht="12.95" customHeight="1">
      <c r="A1008" s="14"/>
      <c r="B1008" s="257"/>
      <c r="C1008" s="256"/>
      <c r="D1008" s="1749" t="s">
        <v>2157</v>
      </c>
      <c r="E1008" s="1750"/>
      <c r="F1008" s="1750"/>
      <c r="G1008" s="1750"/>
      <c r="H1008" s="1750"/>
      <c r="I1008" s="1750"/>
      <c r="J1008" s="1750"/>
      <c r="K1008" s="1750"/>
      <c r="L1008" s="1750"/>
      <c r="M1008" s="1750"/>
      <c r="N1008" s="1750"/>
      <c r="O1008" s="1750"/>
      <c r="P1008" s="1750"/>
      <c r="Q1008" s="1750"/>
      <c r="R1008" s="1750"/>
      <c r="S1008" s="1750"/>
      <c r="T1008" s="1750"/>
      <c r="U1008" s="1750"/>
      <c r="V1008" s="1750"/>
      <c r="W1008" s="1750"/>
      <c r="X1008" s="1750"/>
      <c r="Y1008" s="1750"/>
      <c r="Z1008" s="1750"/>
      <c r="AA1008" s="1750"/>
      <c r="AB1008" s="1750"/>
      <c r="AC1008" s="1750"/>
      <c r="AD1008" s="1750"/>
      <c r="AE1008" s="1751"/>
      <c r="AF1008" s="73"/>
      <c r="AG1008" s="14"/>
      <c r="AH1008" s="14"/>
      <c r="AI1008" s="83"/>
      <c r="AJ1008" s="1671"/>
      <c r="AK1008" s="1672"/>
      <c r="AL1008" s="1672"/>
      <c r="AM1008" s="1672"/>
      <c r="AN1008" s="1672"/>
      <c r="AO1008" s="1672"/>
      <c r="AP1008" s="1672"/>
      <c r="AQ1008" s="1673"/>
      <c r="AR1008" s="68"/>
      <c r="AS1008" s="68"/>
      <c r="AT1008" s="68"/>
      <c r="AU1008" s="68"/>
      <c r="AV1008" s="68"/>
      <c r="AW1008" s="68"/>
      <c r="AX1008" s="68"/>
      <c r="AY1008" s="68"/>
      <c r="AZ1008" s="34"/>
      <c r="BA1008" s="34"/>
      <c r="BB1008" s="34"/>
      <c r="BC1008" s="34"/>
    </row>
    <row r="1009" spans="1:55" ht="12.95" customHeight="1">
      <c r="A1009" s="14"/>
      <c r="B1009" s="257"/>
      <c r="C1009" s="256"/>
      <c r="D1009" s="1746"/>
      <c r="E1009" s="1747"/>
      <c r="F1009" s="1747"/>
      <c r="G1009" s="1747"/>
      <c r="H1009" s="1747"/>
      <c r="I1009" s="1747"/>
      <c r="J1009" s="1747"/>
      <c r="K1009" s="1747"/>
      <c r="L1009" s="1747"/>
      <c r="M1009" s="1747"/>
      <c r="N1009" s="1747"/>
      <c r="O1009" s="1747"/>
      <c r="P1009" s="1747"/>
      <c r="Q1009" s="1747"/>
      <c r="R1009" s="1747"/>
      <c r="S1009" s="1747"/>
      <c r="T1009" s="1747"/>
      <c r="U1009" s="1747"/>
      <c r="V1009" s="1747"/>
      <c r="W1009" s="1747"/>
      <c r="X1009" s="1747"/>
      <c r="Y1009" s="1747"/>
      <c r="Z1009" s="1747"/>
      <c r="AA1009" s="1747"/>
      <c r="AB1009" s="1747"/>
      <c r="AC1009" s="1747"/>
      <c r="AD1009" s="1747"/>
      <c r="AE1009" s="1748"/>
      <c r="AF1009" s="77"/>
      <c r="AG1009" s="7"/>
      <c r="AH1009" s="7"/>
      <c r="AI1009" s="78"/>
      <c r="AJ1009" s="1680"/>
      <c r="AK1009" s="1681"/>
      <c r="AL1009" s="1681"/>
      <c r="AM1009" s="1681"/>
      <c r="AN1009" s="1681"/>
      <c r="AO1009" s="1681"/>
      <c r="AP1009" s="1681"/>
      <c r="AQ1009" s="1682"/>
      <c r="AR1009" s="68"/>
      <c r="AS1009" s="68"/>
      <c r="AT1009" s="68"/>
      <c r="AU1009" s="68"/>
      <c r="AV1009" s="68"/>
      <c r="AW1009" s="68"/>
      <c r="AX1009" s="68"/>
      <c r="AY1009" s="68"/>
      <c r="AZ1009" s="34"/>
      <c r="BA1009" s="34"/>
      <c r="BB1009" s="34"/>
      <c r="BC1009" s="34"/>
    </row>
    <row r="1010" spans="1:55" ht="12.95" customHeight="1">
      <c r="A1010" s="14"/>
      <c r="B1010" s="255"/>
      <c r="C1010" s="318"/>
      <c r="D1010" s="1650" t="s">
        <v>1284</v>
      </c>
      <c r="E1010" s="1651"/>
      <c r="F1010" s="1651"/>
      <c r="G1010" s="1651"/>
      <c r="H1010" s="1651"/>
      <c r="I1010" s="1651"/>
      <c r="J1010" s="1651"/>
      <c r="K1010" s="1651"/>
      <c r="L1010" s="1651"/>
      <c r="M1010" s="1651"/>
      <c r="N1010" s="1651"/>
      <c r="O1010" s="1651"/>
      <c r="P1010" s="1651"/>
      <c r="Q1010" s="1651"/>
      <c r="R1010" s="1651"/>
      <c r="S1010" s="1651"/>
      <c r="T1010" s="1651"/>
      <c r="U1010" s="1651"/>
      <c r="V1010" s="1651"/>
      <c r="W1010" s="1651"/>
      <c r="X1010" s="1651"/>
      <c r="Y1010" s="1651"/>
      <c r="Z1010" s="1651"/>
      <c r="AA1010" s="1651"/>
      <c r="AB1010" s="1651"/>
      <c r="AC1010" s="1651"/>
      <c r="AD1010" s="1651"/>
      <c r="AE1010" s="1652"/>
      <c r="AF1010" s="79"/>
      <c r="AG1010" s="1695" t="s">
        <v>667</v>
      </c>
      <c r="AH1010" s="1696"/>
      <c r="AI1010" s="87"/>
      <c r="AJ1010" s="1668">
        <f>ROUND(IF(AG1010="yes",AJ1001*0.05,0),0)</f>
        <v>0</v>
      </c>
      <c r="AK1010" s="1669"/>
      <c r="AL1010" s="1669"/>
      <c r="AM1010" s="1669"/>
      <c r="AN1010" s="1669"/>
      <c r="AO1010" s="1669"/>
      <c r="AP1010" s="1669"/>
      <c r="AQ1010" s="1670"/>
      <c r="AR1010" s="68"/>
      <c r="AS1010" s="68"/>
      <c r="AT1010" s="68"/>
      <c r="AU1010" s="68"/>
      <c r="AV1010" s="68"/>
      <c r="AW1010" s="68"/>
      <c r="AX1010" s="68"/>
      <c r="AY1010" s="68"/>
      <c r="AZ1010" s="34"/>
      <c r="BA1010" s="34"/>
      <c r="BB1010" s="34"/>
      <c r="BC1010" s="34"/>
    </row>
    <row r="1011" spans="1:55" ht="12.95" customHeight="1">
      <c r="A1011" s="14"/>
      <c r="B1011" s="257"/>
      <c r="C1011" s="82"/>
      <c r="D1011" s="1724" t="s">
        <v>1282</v>
      </c>
      <c r="E1011" s="1725"/>
      <c r="F1011" s="1725"/>
      <c r="G1011" s="1725"/>
      <c r="H1011" s="1725"/>
      <c r="I1011" s="1725"/>
      <c r="J1011" s="1725"/>
      <c r="K1011" s="1725"/>
      <c r="L1011" s="1725"/>
      <c r="M1011" s="1725"/>
      <c r="N1011" s="1725"/>
      <c r="O1011" s="1725"/>
      <c r="P1011" s="1725"/>
      <c r="Q1011" s="1725"/>
      <c r="R1011" s="1725"/>
      <c r="S1011" s="1725"/>
      <c r="T1011" s="1725"/>
      <c r="U1011" s="1725"/>
      <c r="V1011" s="1725"/>
      <c r="W1011" s="1725"/>
      <c r="X1011" s="1725"/>
      <c r="Y1011" s="1725"/>
      <c r="Z1011" s="1725"/>
      <c r="AA1011" s="1725"/>
      <c r="AB1011" s="1725"/>
      <c r="AC1011" s="1725"/>
      <c r="AD1011" s="1725"/>
      <c r="AE1011" s="1726"/>
      <c r="AF1011" s="73"/>
      <c r="AG1011" s="14"/>
      <c r="AH1011" s="14"/>
      <c r="AI1011" s="83"/>
      <c r="AJ1011" s="1671"/>
      <c r="AK1011" s="1672"/>
      <c r="AL1011" s="1672"/>
      <c r="AM1011" s="1672"/>
      <c r="AN1011" s="1672"/>
      <c r="AO1011" s="1672"/>
      <c r="AP1011" s="1672"/>
      <c r="AQ1011" s="1673"/>
      <c r="AR1011" s="68"/>
      <c r="AS1011" s="68"/>
      <c r="AT1011" s="68"/>
      <c r="AU1011" s="68"/>
      <c r="AV1011" s="68"/>
      <c r="AW1011" s="68"/>
      <c r="AX1011" s="68"/>
      <c r="AY1011" s="34"/>
      <c r="AZ1011" s="34"/>
      <c r="BB1011" s="34"/>
    </row>
    <row r="1012" spans="1:55" ht="12.95" customHeight="1">
      <c r="A1012" s="14"/>
      <c r="B1012" s="257"/>
      <c r="C1012" s="82"/>
      <c r="D1012" s="1724"/>
      <c r="E1012" s="1725"/>
      <c r="F1012" s="1725"/>
      <c r="G1012" s="1725"/>
      <c r="H1012" s="1725"/>
      <c r="I1012" s="1725"/>
      <c r="J1012" s="1725"/>
      <c r="K1012" s="1725"/>
      <c r="L1012" s="1725"/>
      <c r="M1012" s="1725"/>
      <c r="N1012" s="1725"/>
      <c r="O1012" s="1725"/>
      <c r="P1012" s="1725"/>
      <c r="Q1012" s="1725"/>
      <c r="R1012" s="1725"/>
      <c r="S1012" s="1725"/>
      <c r="T1012" s="1725"/>
      <c r="U1012" s="1725"/>
      <c r="V1012" s="1725"/>
      <c r="W1012" s="1725"/>
      <c r="X1012" s="1725"/>
      <c r="Y1012" s="1725"/>
      <c r="Z1012" s="1725"/>
      <c r="AA1012" s="1725"/>
      <c r="AB1012" s="1725"/>
      <c r="AC1012" s="1725"/>
      <c r="AD1012" s="1725"/>
      <c r="AE1012" s="1726"/>
      <c r="AF1012" s="73"/>
      <c r="AG1012" s="14"/>
      <c r="AH1012" s="14"/>
      <c r="AI1012" s="83"/>
      <c r="AJ1012" s="1671"/>
      <c r="AK1012" s="1672"/>
      <c r="AL1012" s="1672"/>
      <c r="AM1012" s="1672"/>
      <c r="AN1012" s="1672"/>
      <c r="AO1012" s="1672"/>
      <c r="AP1012" s="1672"/>
      <c r="AQ1012" s="1673"/>
      <c r="AR1012" s="68"/>
      <c r="AS1012" s="68"/>
      <c r="AT1012" s="68"/>
      <c r="AU1012" s="68"/>
      <c r="AV1012" s="68"/>
      <c r="AW1012" s="68"/>
      <c r="AX1012" s="68"/>
      <c r="AY1012" s="910">
        <f>G761+O805</f>
        <v>237</v>
      </c>
      <c r="AZ1012" s="34"/>
      <c r="BB1012" s="34"/>
    </row>
    <row r="1013" spans="1:55" ht="12.95" customHeight="1">
      <c r="A1013" s="14"/>
      <c r="B1013" s="257"/>
      <c r="C1013" s="82"/>
      <c r="D1013" s="1724"/>
      <c r="E1013" s="1725"/>
      <c r="F1013" s="1725"/>
      <c r="G1013" s="1725"/>
      <c r="H1013" s="1725"/>
      <c r="I1013" s="1725"/>
      <c r="J1013" s="1725"/>
      <c r="K1013" s="1725"/>
      <c r="L1013" s="1725"/>
      <c r="M1013" s="1725"/>
      <c r="N1013" s="1725"/>
      <c r="O1013" s="1725"/>
      <c r="P1013" s="1725"/>
      <c r="Q1013" s="1725"/>
      <c r="R1013" s="1725"/>
      <c r="S1013" s="1725"/>
      <c r="T1013" s="1725"/>
      <c r="U1013" s="1725"/>
      <c r="V1013" s="1725"/>
      <c r="W1013" s="1725"/>
      <c r="X1013" s="1725"/>
      <c r="Y1013" s="1725"/>
      <c r="Z1013" s="1725"/>
      <c r="AA1013" s="1725"/>
      <c r="AB1013" s="1725"/>
      <c r="AC1013" s="1725"/>
      <c r="AD1013" s="1725"/>
      <c r="AE1013" s="1726"/>
      <c r="AF1013" s="73"/>
      <c r="AG1013" s="14"/>
      <c r="AH1013" s="14"/>
      <c r="AI1013" s="83"/>
      <c r="AJ1013" s="1671"/>
      <c r="AK1013" s="1672"/>
      <c r="AL1013" s="1672"/>
      <c r="AM1013" s="1672"/>
      <c r="AN1013" s="1672"/>
      <c r="AO1013" s="1672"/>
      <c r="AP1013" s="1672"/>
      <c r="AQ1013" s="1673"/>
      <c r="AR1013" s="68"/>
      <c r="AS1013" s="68"/>
      <c r="AT1013" s="68"/>
      <c r="AU1013" s="68"/>
      <c r="AV1013" s="68"/>
      <c r="AW1013" s="68"/>
      <c r="AX1013" s="68"/>
      <c r="AY1013" s="14"/>
      <c r="AZ1013" s="34"/>
      <c r="BB1013" s="34"/>
    </row>
    <row r="1014" spans="1:55" ht="12.95" customHeight="1">
      <c r="A1014" s="14"/>
      <c r="B1014" s="257"/>
      <c r="C1014" s="82"/>
      <c r="D1014" s="1724"/>
      <c r="E1014" s="1725"/>
      <c r="F1014" s="1725"/>
      <c r="G1014" s="1725"/>
      <c r="H1014" s="1725"/>
      <c r="I1014" s="1725"/>
      <c r="J1014" s="1725"/>
      <c r="K1014" s="1725"/>
      <c r="L1014" s="1725"/>
      <c r="M1014" s="1725"/>
      <c r="N1014" s="1725"/>
      <c r="O1014" s="1725"/>
      <c r="P1014" s="1725"/>
      <c r="Q1014" s="1725"/>
      <c r="R1014" s="1725"/>
      <c r="S1014" s="1725"/>
      <c r="T1014" s="1725"/>
      <c r="U1014" s="1725"/>
      <c r="V1014" s="1725"/>
      <c r="W1014" s="1725"/>
      <c r="X1014" s="1725"/>
      <c r="Y1014" s="1725"/>
      <c r="Z1014" s="1725"/>
      <c r="AA1014" s="1725"/>
      <c r="AB1014" s="1725"/>
      <c r="AC1014" s="1725"/>
      <c r="AD1014" s="1725"/>
      <c r="AE1014" s="1726"/>
      <c r="AF1014" s="73"/>
      <c r="AG1014" s="14"/>
      <c r="AH1014" s="14"/>
      <c r="AI1014" s="83"/>
      <c r="AJ1014" s="1671"/>
      <c r="AK1014" s="1672"/>
      <c r="AL1014" s="1672"/>
      <c r="AM1014" s="1672"/>
      <c r="AN1014" s="1672"/>
      <c r="AO1014" s="1672"/>
      <c r="AP1014" s="1672"/>
      <c r="AQ1014" s="1673"/>
      <c r="AR1014" s="68"/>
      <c r="AS1014" s="68"/>
      <c r="AT1014" s="68"/>
      <c r="AU1014" s="68"/>
      <c r="AV1014" s="68"/>
      <c r="AW1014" s="68"/>
      <c r="AX1014" s="68"/>
      <c r="AY1014" s="909">
        <f>ROUNDDOWN(X1057/I1057,2)</f>
        <v>0.1</v>
      </c>
      <c r="AZ1014" s="34"/>
      <c r="BB1014" s="34"/>
    </row>
    <row r="1015" spans="1:55" ht="12.95" customHeight="1">
      <c r="A1015" s="14"/>
      <c r="B1015" s="75"/>
      <c r="C1015" s="76"/>
      <c r="D1015" s="1749"/>
      <c r="E1015" s="1750"/>
      <c r="F1015" s="1750"/>
      <c r="G1015" s="1750"/>
      <c r="H1015" s="1750"/>
      <c r="I1015" s="1750"/>
      <c r="J1015" s="1750"/>
      <c r="K1015" s="1750"/>
      <c r="L1015" s="1750"/>
      <c r="M1015" s="1750"/>
      <c r="N1015" s="1750"/>
      <c r="O1015" s="1750"/>
      <c r="P1015" s="1750"/>
      <c r="Q1015" s="1750"/>
      <c r="R1015" s="1750"/>
      <c r="S1015" s="1750"/>
      <c r="T1015" s="1750"/>
      <c r="U1015" s="1750"/>
      <c r="V1015" s="1750"/>
      <c r="W1015" s="1750"/>
      <c r="X1015" s="1750"/>
      <c r="Y1015" s="1750"/>
      <c r="Z1015" s="1750"/>
      <c r="AA1015" s="1750"/>
      <c r="AB1015" s="1750"/>
      <c r="AC1015" s="1750"/>
      <c r="AD1015" s="1750"/>
      <c r="AE1015" s="1751"/>
      <c r="AF1015" s="77"/>
      <c r="AG1015" s="7"/>
      <c r="AH1015" s="7"/>
      <c r="AI1015" s="78"/>
      <c r="AJ1015" s="1680"/>
      <c r="AK1015" s="1681"/>
      <c r="AL1015" s="1681"/>
      <c r="AM1015" s="1681"/>
      <c r="AN1015" s="1681"/>
      <c r="AO1015" s="1681"/>
      <c r="AP1015" s="1681"/>
      <c r="AQ1015" s="1682"/>
      <c r="AR1015" s="68"/>
      <c r="AS1015" s="68"/>
      <c r="AT1015" s="68"/>
      <c r="AU1015" s="68"/>
      <c r="AV1015" s="68"/>
      <c r="AW1015" s="68"/>
      <c r="AX1015" s="68"/>
      <c r="AY1015" s="909">
        <f>ROUNDDOWN(X1061/I1061,2)</f>
        <v>0.1</v>
      </c>
      <c r="AZ1015" s="34"/>
      <c r="BB1015" s="34"/>
    </row>
    <row r="1016" spans="1:55" ht="12.95" customHeight="1">
      <c r="A1016" s="14"/>
      <c r="B1016" s="255"/>
      <c r="C1016" s="80" t="s">
        <v>670</v>
      </c>
      <c r="D1016" s="1650" t="s">
        <v>1670</v>
      </c>
      <c r="E1016" s="1651"/>
      <c r="F1016" s="1651"/>
      <c r="G1016" s="1651"/>
      <c r="H1016" s="1651"/>
      <c r="I1016" s="1651"/>
      <c r="J1016" s="1651"/>
      <c r="K1016" s="1651"/>
      <c r="L1016" s="1651"/>
      <c r="M1016" s="1651"/>
      <c r="N1016" s="1651"/>
      <c r="O1016" s="1651"/>
      <c r="P1016" s="1651"/>
      <c r="Q1016" s="1651"/>
      <c r="R1016" s="1651"/>
      <c r="S1016" s="1651"/>
      <c r="T1016" s="1651"/>
      <c r="U1016" s="1651"/>
      <c r="V1016" s="1651"/>
      <c r="W1016" s="1651"/>
      <c r="X1016" s="1651"/>
      <c r="Y1016" s="1651"/>
      <c r="Z1016" s="1651"/>
      <c r="AA1016" s="1651"/>
      <c r="AB1016" s="1651"/>
      <c r="AC1016" s="1651"/>
      <c r="AD1016" s="1651"/>
      <c r="AE1016" s="1652"/>
      <c r="AF1016" s="86"/>
      <c r="AG1016" s="1695" t="s">
        <v>667</v>
      </c>
      <c r="AH1016" s="1696"/>
      <c r="AI1016" s="87"/>
      <c r="AJ1016" s="1668">
        <f>ROUND(IF(AG1016="yes",AJ1001*0.1,0),0)</f>
        <v>0</v>
      </c>
      <c r="AK1016" s="1669"/>
      <c r="AL1016" s="1669"/>
      <c r="AM1016" s="1669"/>
      <c r="AN1016" s="1669"/>
      <c r="AO1016" s="1669"/>
      <c r="AP1016" s="1669"/>
      <c r="AQ1016" s="1670"/>
      <c r="AR1016" s="68"/>
      <c r="AS1016" s="68"/>
      <c r="AT1016" s="68"/>
      <c r="AU1016" s="68"/>
      <c r="AV1016" s="68"/>
      <c r="AW1016" s="68"/>
      <c r="AX1016" s="68"/>
      <c r="BB1016" s="34"/>
    </row>
    <row r="1017" spans="1:55" ht="12.95" customHeight="1">
      <c r="A1017" s="14"/>
      <c r="B1017" s="73"/>
      <c r="C1017" s="74"/>
      <c r="D1017" s="1674" t="s">
        <v>1283</v>
      </c>
      <c r="E1017" s="1675"/>
      <c r="F1017" s="1675"/>
      <c r="G1017" s="1675"/>
      <c r="H1017" s="1675"/>
      <c r="I1017" s="1675"/>
      <c r="J1017" s="1675"/>
      <c r="K1017" s="1675"/>
      <c r="L1017" s="1675"/>
      <c r="M1017" s="1675"/>
      <c r="N1017" s="1675"/>
      <c r="O1017" s="1675"/>
      <c r="P1017" s="1675"/>
      <c r="Q1017" s="1675"/>
      <c r="R1017" s="1675"/>
      <c r="S1017" s="1675"/>
      <c r="T1017" s="1675"/>
      <c r="U1017" s="1675"/>
      <c r="V1017" s="1675"/>
      <c r="W1017" s="1675"/>
      <c r="X1017" s="1675"/>
      <c r="Y1017" s="1675"/>
      <c r="Z1017" s="1675"/>
      <c r="AA1017" s="1675"/>
      <c r="AB1017" s="1675"/>
      <c r="AC1017" s="1675"/>
      <c r="AD1017" s="1675"/>
      <c r="AE1017" s="1676"/>
      <c r="AF1017" s="73"/>
      <c r="AI1017" s="83"/>
      <c r="AJ1017" s="1671"/>
      <c r="AK1017" s="1672"/>
      <c r="AL1017" s="1672"/>
      <c r="AM1017" s="1672"/>
      <c r="AN1017" s="1672"/>
      <c r="AO1017" s="1672"/>
      <c r="AP1017" s="1672"/>
      <c r="AQ1017" s="1673"/>
      <c r="AR1017" s="68"/>
      <c r="AS1017" s="68"/>
      <c r="AT1017" s="68"/>
      <c r="AU1017" s="68"/>
      <c r="AV1017" s="68"/>
      <c r="AW1017" s="68"/>
      <c r="AX1017" s="68"/>
    </row>
    <row r="1018" spans="1:55" ht="12.95" customHeight="1">
      <c r="A1018" s="14"/>
      <c r="B1018" s="73"/>
      <c r="C1018" s="74"/>
      <c r="D1018" s="1674"/>
      <c r="E1018" s="1675"/>
      <c r="F1018" s="1675"/>
      <c r="G1018" s="1675"/>
      <c r="H1018" s="1675"/>
      <c r="I1018" s="1675"/>
      <c r="J1018" s="1675"/>
      <c r="K1018" s="1675"/>
      <c r="L1018" s="1675"/>
      <c r="M1018" s="1675"/>
      <c r="N1018" s="1675"/>
      <c r="O1018" s="1675"/>
      <c r="P1018" s="1675"/>
      <c r="Q1018" s="1675"/>
      <c r="R1018" s="1675"/>
      <c r="S1018" s="1675"/>
      <c r="T1018" s="1675"/>
      <c r="U1018" s="1675"/>
      <c r="V1018" s="1675"/>
      <c r="W1018" s="1675"/>
      <c r="X1018" s="1675"/>
      <c r="Y1018" s="1675"/>
      <c r="Z1018" s="1675"/>
      <c r="AA1018" s="1675"/>
      <c r="AB1018" s="1675"/>
      <c r="AC1018" s="1675"/>
      <c r="AD1018" s="1675"/>
      <c r="AE1018" s="1676"/>
      <c r="AF1018" s="73"/>
      <c r="AG1018" s="14"/>
      <c r="AH1018" s="14"/>
      <c r="AI1018" s="83"/>
      <c r="AJ1018" s="1671"/>
      <c r="AK1018" s="1672"/>
      <c r="AL1018" s="1672"/>
      <c r="AM1018" s="1672"/>
      <c r="AN1018" s="1672"/>
      <c r="AO1018" s="1672"/>
      <c r="AP1018" s="1672"/>
      <c r="AQ1018" s="1673"/>
      <c r="AR1018" s="68"/>
      <c r="AS1018" s="68"/>
      <c r="AT1018" s="68"/>
      <c r="AU1018" s="68"/>
      <c r="AV1018" s="68"/>
      <c r="AW1018" s="68"/>
      <c r="AX1018" s="68"/>
    </row>
    <row r="1019" spans="1:55" ht="12.95" customHeight="1">
      <c r="A1019" s="14"/>
      <c r="B1019" s="85"/>
      <c r="C1019" s="76"/>
      <c r="D1019" s="1677"/>
      <c r="E1019" s="1678"/>
      <c r="F1019" s="1678"/>
      <c r="G1019" s="1678"/>
      <c r="H1019" s="1678"/>
      <c r="I1019" s="1678"/>
      <c r="J1019" s="1678"/>
      <c r="K1019" s="1678"/>
      <c r="L1019" s="1678"/>
      <c r="M1019" s="1678"/>
      <c r="N1019" s="1678"/>
      <c r="O1019" s="1678"/>
      <c r="P1019" s="1678"/>
      <c r="Q1019" s="1678"/>
      <c r="R1019" s="1678"/>
      <c r="S1019" s="1678"/>
      <c r="T1019" s="1678"/>
      <c r="U1019" s="1678"/>
      <c r="V1019" s="1678"/>
      <c r="W1019" s="1678"/>
      <c r="X1019" s="1678"/>
      <c r="Y1019" s="1678"/>
      <c r="Z1019" s="1678"/>
      <c r="AA1019" s="1678"/>
      <c r="AB1019" s="1678"/>
      <c r="AC1019" s="1678"/>
      <c r="AD1019" s="1678"/>
      <c r="AE1019" s="1679"/>
      <c r="AF1019" s="77"/>
      <c r="AG1019" s="7"/>
      <c r="AH1019" s="7"/>
      <c r="AI1019" s="78"/>
      <c r="AJ1019" s="1680"/>
      <c r="AK1019" s="1681"/>
      <c r="AL1019" s="1681"/>
      <c r="AM1019" s="1681"/>
      <c r="AN1019" s="1681"/>
      <c r="AO1019" s="1681"/>
      <c r="AP1019" s="1681"/>
      <c r="AQ1019" s="1682"/>
      <c r="AR1019" s="68"/>
      <c r="AS1019" s="68"/>
      <c r="AT1019" s="68"/>
      <c r="AU1019" s="68"/>
      <c r="AV1019" s="68"/>
      <c r="AW1019" s="68"/>
      <c r="AX1019" s="68"/>
    </row>
    <row r="1020" spans="1:55" ht="12.95" customHeight="1">
      <c r="A1020" s="14"/>
      <c r="B1020" s="79"/>
      <c r="C1020" s="80" t="s">
        <v>211</v>
      </c>
      <c r="D1020" s="1650" t="s">
        <v>1285</v>
      </c>
      <c r="E1020" s="1651"/>
      <c r="F1020" s="1651"/>
      <c r="G1020" s="1651"/>
      <c r="H1020" s="1651"/>
      <c r="I1020" s="1651"/>
      <c r="J1020" s="1651"/>
      <c r="K1020" s="1651"/>
      <c r="L1020" s="1651"/>
      <c r="M1020" s="1651"/>
      <c r="N1020" s="1651"/>
      <c r="O1020" s="1651"/>
      <c r="P1020" s="1651"/>
      <c r="Q1020" s="1651"/>
      <c r="R1020" s="1651"/>
      <c r="S1020" s="1651"/>
      <c r="T1020" s="1651"/>
      <c r="U1020" s="1651"/>
      <c r="V1020" s="1651"/>
      <c r="W1020" s="1651"/>
      <c r="X1020" s="1651"/>
      <c r="Y1020" s="1651"/>
      <c r="Z1020" s="1651"/>
      <c r="AA1020" s="1651"/>
      <c r="AB1020" s="1651"/>
      <c r="AC1020" s="1651"/>
      <c r="AD1020" s="1651"/>
      <c r="AE1020" s="1652"/>
      <c r="AF1020" s="79"/>
      <c r="AG1020" s="1695" t="s">
        <v>667</v>
      </c>
      <c r="AH1020" s="1696"/>
      <c r="AI1020" s="87"/>
      <c r="AJ1020" s="1668">
        <f>ROUND(IF(AG1020="yes",AJ1001*0.02,0),0)</f>
        <v>0</v>
      </c>
      <c r="AK1020" s="1669"/>
      <c r="AL1020" s="1669"/>
      <c r="AM1020" s="1669"/>
      <c r="AN1020" s="1669"/>
      <c r="AO1020" s="1669"/>
      <c r="AP1020" s="1669"/>
      <c r="AQ1020" s="1670"/>
      <c r="AR1020" s="68"/>
      <c r="AS1020" s="68"/>
      <c r="AT1020" s="68"/>
      <c r="AU1020" s="68"/>
      <c r="AV1020" s="68"/>
      <c r="AW1020" s="68"/>
      <c r="AX1020" s="68"/>
    </row>
    <row r="1021" spans="1:55" ht="14.25" customHeight="1">
      <c r="A1021" s="14"/>
      <c r="B1021" s="73"/>
      <c r="C1021" s="74"/>
      <c r="D1021" s="1677" t="s">
        <v>1286</v>
      </c>
      <c r="E1021" s="1678"/>
      <c r="F1021" s="1678"/>
      <c r="G1021" s="1678"/>
      <c r="H1021" s="1678"/>
      <c r="I1021" s="1678"/>
      <c r="J1021" s="1678"/>
      <c r="K1021" s="1678"/>
      <c r="L1021" s="1678"/>
      <c r="M1021" s="1678"/>
      <c r="N1021" s="1678"/>
      <c r="O1021" s="1678"/>
      <c r="P1021" s="1678"/>
      <c r="Q1021" s="1678"/>
      <c r="R1021" s="1678"/>
      <c r="S1021" s="1678"/>
      <c r="T1021" s="1678"/>
      <c r="U1021" s="1678"/>
      <c r="V1021" s="1678"/>
      <c r="W1021" s="1678"/>
      <c r="X1021" s="1678"/>
      <c r="Y1021" s="1678"/>
      <c r="Z1021" s="1678"/>
      <c r="AA1021" s="1678"/>
      <c r="AB1021" s="1678"/>
      <c r="AC1021" s="1678"/>
      <c r="AD1021" s="1678"/>
      <c r="AE1021" s="1679"/>
      <c r="AF1021" s="77"/>
      <c r="AG1021" s="7"/>
      <c r="AH1021" s="7"/>
      <c r="AI1021" s="78"/>
      <c r="AJ1021" s="1680"/>
      <c r="AK1021" s="1681"/>
      <c r="AL1021" s="1681"/>
      <c r="AM1021" s="1681"/>
      <c r="AN1021" s="1681"/>
      <c r="AO1021" s="1681"/>
      <c r="AP1021" s="1681"/>
      <c r="AQ1021" s="1682"/>
      <c r="AR1021" s="68"/>
      <c r="AS1021" s="68"/>
      <c r="AT1021" s="68"/>
      <c r="AU1021" s="68"/>
      <c r="AV1021" s="68"/>
      <c r="AW1021" s="68"/>
      <c r="AX1021" s="3" t="s">
        <v>1815</v>
      </c>
      <c r="AZ1021" s="3" t="s">
        <v>2529</v>
      </c>
    </row>
    <row r="1022" spans="1:55" ht="12.95" customHeight="1">
      <c r="A1022" s="14"/>
      <c r="B1022" s="79"/>
      <c r="C1022" s="80" t="s">
        <v>214</v>
      </c>
      <c r="D1022" s="1650" t="s">
        <v>1287</v>
      </c>
      <c r="E1022" s="1651"/>
      <c r="F1022" s="1651"/>
      <c r="G1022" s="1651"/>
      <c r="H1022" s="1651"/>
      <c r="I1022" s="1651"/>
      <c r="J1022" s="1651"/>
      <c r="K1022" s="1651"/>
      <c r="L1022" s="1651"/>
      <c r="M1022" s="1651"/>
      <c r="N1022" s="1651"/>
      <c r="O1022" s="1651"/>
      <c r="P1022" s="1651"/>
      <c r="Q1022" s="1651"/>
      <c r="R1022" s="1651"/>
      <c r="S1022" s="1651"/>
      <c r="T1022" s="1651"/>
      <c r="U1022" s="1651"/>
      <c r="V1022" s="1651"/>
      <c r="W1022" s="1651"/>
      <c r="X1022" s="1651"/>
      <c r="Y1022" s="1651"/>
      <c r="Z1022" s="1651"/>
      <c r="AA1022" s="1651"/>
      <c r="AB1022" s="1651"/>
      <c r="AC1022" s="1651"/>
      <c r="AD1022" s="1651"/>
      <c r="AE1022" s="1652"/>
      <c r="AF1022" s="79"/>
      <c r="AG1022" s="1695" t="s">
        <v>667</v>
      </c>
      <c r="AH1022" s="1696"/>
      <c r="AI1022" s="79"/>
      <c r="AJ1022" s="1668">
        <f>ROUND(IF(AG1022="yes",AJ1001*0.02,0),0)</f>
        <v>0</v>
      </c>
      <c r="AK1022" s="1669"/>
      <c r="AL1022" s="1669"/>
      <c r="AM1022" s="1669"/>
      <c r="AN1022" s="1669"/>
      <c r="AO1022" s="1669"/>
      <c r="AP1022" s="1669"/>
      <c r="AQ1022" s="1670"/>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674" t="s">
        <v>1288</v>
      </c>
      <c r="E1023" s="1675"/>
      <c r="F1023" s="1675"/>
      <c r="G1023" s="1675"/>
      <c r="H1023" s="1675"/>
      <c r="I1023" s="1675"/>
      <c r="J1023" s="1675"/>
      <c r="K1023" s="1675"/>
      <c r="L1023" s="1675"/>
      <c r="M1023" s="1675"/>
      <c r="N1023" s="1675"/>
      <c r="O1023" s="1675"/>
      <c r="P1023" s="1675"/>
      <c r="Q1023" s="1675"/>
      <c r="R1023" s="1675"/>
      <c r="S1023" s="1675"/>
      <c r="T1023" s="1675"/>
      <c r="U1023" s="1675"/>
      <c r="V1023" s="1675"/>
      <c r="W1023" s="1675"/>
      <c r="X1023" s="1675"/>
      <c r="Y1023" s="1675"/>
      <c r="Z1023" s="1675"/>
      <c r="AA1023" s="1675"/>
      <c r="AB1023" s="1675"/>
      <c r="AC1023" s="1675"/>
      <c r="AD1023" s="1675"/>
      <c r="AE1023" s="1676"/>
      <c r="AF1023" s="1789" t="str">
        <f>IF(AND(AG1022="yes",T212&lt;&gt;1),"The project may not be eligible for this boost","")</f>
        <v/>
      </c>
      <c r="AG1023" s="1790"/>
      <c r="AH1023" s="1790"/>
      <c r="AI1023" s="1791"/>
      <c r="AJ1023" s="1671"/>
      <c r="AK1023" s="1672"/>
      <c r="AL1023" s="1672"/>
      <c r="AM1023" s="1672"/>
      <c r="AN1023" s="1672"/>
      <c r="AO1023" s="1672"/>
      <c r="AP1023" s="1672"/>
      <c r="AQ1023" s="1673"/>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677"/>
      <c r="E1024" s="1678"/>
      <c r="F1024" s="1678"/>
      <c r="G1024" s="1678"/>
      <c r="H1024" s="1678"/>
      <c r="I1024" s="1678"/>
      <c r="J1024" s="1678"/>
      <c r="K1024" s="1678"/>
      <c r="L1024" s="1678"/>
      <c r="M1024" s="1678"/>
      <c r="N1024" s="1678"/>
      <c r="O1024" s="1678"/>
      <c r="P1024" s="1678"/>
      <c r="Q1024" s="1678"/>
      <c r="R1024" s="1678"/>
      <c r="S1024" s="1678"/>
      <c r="T1024" s="1678"/>
      <c r="U1024" s="1678"/>
      <c r="V1024" s="1678"/>
      <c r="W1024" s="1678"/>
      <c r="X1024" s="1678"/>
      <c r="Y1024" s="1678"/>
      <c r="Z1024" s="1678"/>
      <c r="AA1024" s="1678"/>
      <c r="AB1024" s="1678"/>
      <c r="AC1024" s="1678"/>
      <c r="AD1024" s="1678"/>
      <c r="AE1024" s="1679"/>
      <c r="AF1024" s="1792"/>
      <c r="AG1024" s="1793"/>
      <c r="AH1024" s="1793"/>
      <c r="AI1024" s="1794"/>
      <c r="AJ1024" s="1680"/>
      <c r="AK1024" s="1681"/>
      <c r="AL1024" s="1681"/>
      <c r="AM1024" s="1681"/>
      <c r="AN1024" s="1681"/>
      <c r="AO1024" s="1681"/>
      <c r="AP1024" s="1681"/>
      <c r="AQ1024" s="1682"/>
      <c r="AR1024" s="68"/>
      <c r="AS1024" s="68"/>
      <c r="AT1024" s="68"/>
      <c r="AU1024" s="68"/>
      <c r="AV1024" s="68"/>
      <c r="AW1024" s="68"/>
      <c r="AX1024" s="3">
        <v>3</v>
      </c>
      <c r="AY1024" s="200">
        <f t="shared" si="55"/>
        <v>0</v>
      </c>
      <c r="AZ1024" s="1189">
        <v>0.05</v>
      </c>
    </row>
    <row r="1025" spans="1:52" ht="12.95" customHeight="1">
      <c r="A1025" s="14"/>
      <c r="B1025" s="79"/>
      <c r="C1025" s="80" t="s">
        <v>217</v>
      </c>
      <c r="D1025" s="1689" t="s">
        <v>2187</v>
      </c>
      <c r="E1025" s="1690"/>
      <c r="F1025" s="1690"/>
      <c r="G1025" s="1690"/>
      <c r="H1025" s="1690"/>
      <c r="I1025" s="1690"/>
      <c r="J1025" s="1690"/>
      <c r="K1025" s="1690"/>
      <c r="L1025" s="1690"/>
      <c r="M1025" s="1690"/>
      <c r="N1025" s="1690"/>
      <c r="O1025" s="1690"/>
      <c r="P1025" s="1690"/>
      <c r="Q1025" s="1690"/>
      <c r="R1025" s="1690"/>
      <c r="S1025" s="1690"/>
      <c r="T1025" s="1690"/>
      <c r="U1025" s="1690"/>
      <c r="V1025" s="1690"/>
      <c r="W1025" s="1690"/>
      <c r="X1025" s="1690"/>
      <c r="Y1025" s="1690"/>
      <c r="Z1025" s="1690"/>
      <c r="AA1025" s="1690"/>
      <c r="AB1025" s="1690"/>
      <c r="AC1025" s="1690"/>
      <c r="AD1025" s="1690"/>
      <c r="AE1025" s="1691"/>
      <c r="AF1025" s="79"/>
      <c r="AG1025" s="1695" t="s">
        <v>667</v>
      </c>
      <c r="AH1025" s="1696"/>
      <c r="AI1025" s="87"/>
      <c r="AJ1025" s="1668">
        <f>IF(AG1025="yes",AJ1001*AY1033,0)</f>
        <v>0</v>
      </c>
      <c r="AK1025" s="1669"/>
      <c r="AL1025" s="1669"/>
      <c r="AM1025" s="1669"/>
      <c r="AN1025" s="1669"/>
      <c r="AO1025" s="1669"/>
      <c r="AP1025" s="1669"/>
      <c r="AQ1025" s="1670"/>
      <c r="AR1025" s="68"/>
      <c r="AS1025" s="68"/>
      <c r="AT1025" s="68"/>
      <c r="AU1025" s="68"/>
      <c r="AV1025" s="68"/>
      <c r="AW1025" s="68"/>
      <c r="AX1025" s="3">
        <v>4</v>
      </c>
      <c r="AY1025" s="200">
        <f t="shared" si="55"/>
        <v>0</v>
      </c>
      <c r="AZ1025" s="1189">
        <v>0.02</v>
      </c>
    </row>
    <row r="1026" spans="1:52" ht="12.95" customHeight="1">
      <c r="A1026" s="14"/>
      <c r="B1026" s="73"/>
      <c r="C1026" s="74"/>
      <c r="D1026" s="1674" t="s">
        <v>2591</v>
      </c>
      <c r="E1026" s="1675"/>
      <c r="F1026" s="1675"/>
      <c r="G1026" s="1675"/>
      <c r="H1026" s="1675"/>
      <c r="I1026" s="1675"/>
      <c r="J1026" s="1675"/>
      <c r="K1026" s="1675"/>
      <c r="L1026" s="1675"/>
      <c r="M1026" s="1675"/>
      <c r="N1026" s="1675"/>
      <c r="O1026" s="1675"/>
      <c r="P1026" s="1675"/>
      <c r="Q1026" s="1675"/>
      <c r="R1026" s="1675"/>
      <c r="S1026" s="1675"/>
      <c r="T1026" s="1675"/>
      <c r="U1026" s="1675"/>
      <c r="V1026" s="1675"/>
      <c r="W1026" s="1675"/>
      <c r="X1026" s="1675"/>
      <c r="Y1026" s="1675"/>
      <c r="Z1026" s="1675"/>
      <c r="AA1026" s="1675"/>
      <c r="AB1026" s="1675"/>
      <c r="AC1026" s="1675"/>
      <c r="AD1026" s="1675"/>
      <c r="AE1026" s="1676"/>
      <c r="AF1026" s="1783" t="str">
        <f>IF(AND(AG1025="Yes",AY1033=0),AY1036,"")</f>
        <v/>
      </c>
      <c r="AG1026" s="1784"/>
      <c r="AH1026" s="1784"/>
      <c r="AI1026" s="1785"/>
      <c r="AJ1026" s="1671"/>
      <c r="AK1026" s="1672"/>
      <c r="AL1026" s="1672"/>
      <c r="AM1026" s="1672"/>
      <c r="AN1026" s="1672"/>
      <c r="AO1026" s="1672"/>
      <c r="AP1026" s="1672"/>
      <c r="AQ1026" s="1673"/>
      <c r="AR1026" s="68"/>
      <c r="AS1026" s="68"/>
      <c r="AT1026" s="68"/>
      <c r="AU1026" s="68"/>
      <c r="AV1026" s="68"/>
      <c r="AW1026" s="68"/>
      <c r="AX1026" s="3">
        <v>5</v>
      </c>
      <c r="AY1026" s="200">
        <f t="shared" si="55"/>
        <v>0</v>
      </c>
      <c r="AZ1026" s="1189">
        <v>0.04</v>
      </c>
    </row>
    <row r="1027" spans="1:52" ht="12.95" customHeight="1">
      <c r="A1027" s="14"/>
      <c r="B1027" s="73"/>
      <c r="C1027" s="74"/>
      <c r="D1027" s="1674"/>
      <c r="E1027" s="1675"/>
      <c r="F1027" s="1675"/>
      <c r="G1027" s="1675"/>
      <c r="H1027" s="1675"/>
      <c r="I1027" s="1675"/>
      <c r="J1027" s="1675"/>
      <c r="K1027" s="1675"/>
      <c r="L1027" s="1675"/>
      <c r="M1027" s="1675"/>
      <c r="N1027" s="1675"/>
      <c r="O1027" s="1675"/>
      <c r="P1027" s="1675"/>
      <c r="Q1027" s="1675"/>
      <c r="R1027" s="1675"/>
      <c r="S1027" s="1675"/>
      <c r="T1027" s="1675"/>
      <c r="U1027" s="1675"/>
      <c r="V1027" s="1675"/>
      <c r="W1027" s="1675"/>
      <c r="X1027" s="1675"/>
      <c r="Y1027" s="1675"/>
      <c r="Z1027" s="1675"/>
      <c r="AA1027" s="1675"/>
      <c r="AB1027" s="1675"/>
      <c r="AC1027" s="1675"/>
      <c r="AD1027" s="1675"/>
      <c r="AE1027" s="1676"/>
      <c r="AF1027" s="1783"/>
      <c r="AG1027" s="1784"/>
      <c r="AH1027" s="1784"/>
      <c r="AI1027" s="1785"/>
      <c r="AJ1027" s="1671"/>
      <c r="AK1027" s="1672"/>
      <c r="AL1027" s="1672"/>
      <c r="AM1027" s="1672"/>
      <c r="AN1027" s="1672"/>
      <c r="AO1027" s="1672"/>
      <c r="AP1027" s="1672"/>
      <c r="AQ1027" s="1673"/>
      <c r="AR1027" s="68"/>
      <c r="AS1027" s="68"/>
      <c r="AT1027" s="68"/>
      <c r="AU1027" s="68"/>
      <c r="AV1027" s="68"/>
      <c r="AW1027" s="68"/>
      <c r="AX1027" s="3">
        <v>6</v>
      </c>
      <c r="AY1027" s="200">
        <f t="shared" si="55"/>
        <v>0</v>
      </c>
      <c r="AZ1027" s="1189">
        <v>0.04</v>
      </c>
    </row>
    <row r="1028" spans="1:52" ht="12.95" customHeight="1">
      <c r="A1028" s="14"/>
      <c r="B1028" s="81"/>
      <c r="C1028" s="82"/>
      <c r="D1028" s="1677"/>
      <c r="E1028" s="1678"/>
      <c r="F1028" s="1678"/>
      <c r="G1028" s="1678"/>
      <c r="H1028" s="1678"/>
      <c r="I1028" s="1678"/>
      <c r="J1028" s="1678"/>
      <c r="K1028" s="1678"/>
      <c r="L1028" s="1678"/>
      <c r="M1028" s="1678"/>
      <c r="N1028" s="1678"/>
      <c r="O1028" s="1678"/>
      <c r="P1028" s="1678"/>
      <c r="Q1028" s="1678"/>
      <c r="R1028" s="1678"/>
      <c r="S1028" s="1678"/>
      <c r="T1028" s="1678"/>
      <c r="U1028" s="1678"/>
      <c r="V1028" s="1678"/>
      <c r="W1028" s="1678"/>
      <c r="X1028" s="1678"/>
      <c r="Y1028" s="1678"/>
      <c r="Z1028" s="1678"/>
      <c r="AA1028" s="1678"/>
      <c r="AB1028" s="1678"/>
      <c r="AC1028" s="1678"/>
      <c r="AD1028" s="1678"/>
      <c r="AE1028" s="1679"/>
      <c r="AF1028" s="1786"/>
      <c r="AG1028" s="1787"/>
      <c r="AH1028" s="1787"/>
      <c r="AI1028" s="1788"/>
      <c r="AJ1028" s="1680"/>
      <c r="AK1028" s="1681"/>
      <c r="AL1028" s="1681"/>
      <c r="AM1028" s="1681"/>
      <c r="AN1028" s="1681"/>
      <c r="AO1028" s="1681"/>
      <c r="AP1028" s="1681"/>
      <c r="AQ1028" s="1682"/>
      <c r="AR1028" s="68"/>
      <c r="AS1028" s="68"/>
      <c r="AT1028" s="68"/>
      <c r="AU1028" s="68"/>
      <c r="AV1028" s="68"/>
      <c r="AW1028" s="68"/>
      <c r="AX1028" s="3">
        <v>7</v>
      </c>
      <c r="AY1028" s="200">
        <f t="shared" si="55"/>
        <v>0</v>
      </c>
      <c r="AZ1028" s="1189">
        <v>0.01</v>
      </c>
    </row>
    <row r="1029" spans="1:52" ht="12.95" customHeight="1">
      <c r="A1029" s="14"/>
      <c r="B1029" s="79"/>
      <c r="C1029" s="80" t="s">
        <v>222</v>
      </c>
      <c r="D1029" s="1715" t="s">
        <v>1289</v>
      </c>
      <c r="E1029" s="1716"/>
      <c r="F1029" s="1716"/>
      <c r="G1029" s="1716"/>
      <c r="H1029" s="1716"/>
      <c r="I1029" s="1716"/>
      <c r="J1029" s="1716"/>
      <c r="K1029" s="1716"/>
      <c r="L1029" s="1716"/>
      <c r="M1029" s="1716"/>
      <c r="N1029" s="1716"/>
      <c r="O1029" s="1716"/>
      <c r="P1029" s="1716"/>
      <c r="Q1029" s="1716"/>
      <c r="R1029" s="1716"/>
      <c r="S1029" s="1716"/>
      <c r="T1029" s="1716"/>
      <c r="U1029" s="1716"/>
      <c r="V1029" s="1716"/>
      <c r="W1029" s="1716"/>
      <c r="X1029" s="1716"/>
      <c r="Y1029" s="1716"/>
      <c r="Z1029" s="1716"/>
      <c r="AA1029" s="1716"/>
      <c r="AB1029" s="1716"/>
      <c r="AC1029" s="1716"/>
      <c r="AD1029" s="1716"/>
      <c r="AE1029" s="1717"/>
      <c r="AF1029" s="79"/>
      <c r="AG1029" s="1695" t="s">
        <v>667</v>
      </c>
      <c r="AH1029" s="1696"/>
      <c r="AI1029" s="87"/>
      <c r="AJ1029" s="1668">
        <f>ROUND(IF(AND(AG1029="Yes",J1033&lt;&gt;"N/A",AF1032&lt;&gt;""),MIN(AF1032,(0.15*AJ1001)),0),0)</f>
        <v>0</v>
      </c>
      <c r="AK1029" s="1669"/>
      <c r="AL1029" s="1669"/>
      <c r="AM1029" s="1669"/>
      <c r="AN1029" s="1669"/>
      <c r="AO1029" s="1669"/>
      <c r="AP1029" s="1669"/>
      <c r="AQ1029" s="1670"/>
      <c r="AR1029" s="68"/>
      <c r="AS1029" s="68"/>
      <c r="AT1029" s="68"/>
      <c r="AU1029" s="68"/>
      <c r="AV1029" s="68"/>
      <c r="AW1029" s="68"/>
      <c r="AX1029" s="3">
        <v>8</v>
      </c>
      <c r="AY1029" s="200">
        <f t="shared" si="55"/>
        <v>0</v>
      </c>
      <c r="AZ1029" s="1189">
        <v>0.01</v>
      </c>
    </row>
    <row r="1030" spans="1:52" ht="12.95" customHeight="1">
      <c r="A1030" s="14"/>
      <c r="B1030" s="81"/>
      <c r="C1030" s="84"/>
      <c r="D1030" s="1718"/>
      <c r="E1030" s="1719"/>
      <c r="F1030" s="1719"/>
      <c r="G1030" s="1719"/>
      <c r="H1030" s="1719"/>
      <c r="I1030" s="1719"/>
      <c r="J1030" s="1719"/>
      <c r="K1030" s="1719"/>
      <c r="L1030" s="1719"/>
      <c r="M1030" s="1719"/>
      <c r="N1030" s="1719"/>
      <c r="O1030" s="1719"/>
      <c r="P1030" s="1719"/>
      <c r="Q1030" s="1719"/>
      <c r="R1030" s="1719"/>
      <c r="S1030" s="1719"/>
      <c r="T1030" s="1719"/>
      <c r="U1030" s="1719"/>
      <c r="V1030" s="1719"/>
      <c r="W1030" s="1719"/>
      <c r="X1030" s="1719"/>
      <c r="Y1030" s="1719"/>
      <c r="Z1030" s="1719"/>
      <c r="AA1030" s="1719"/>
      <c r="AB1030" s="1719"/>
      <c r="AC1030" s="1719"/>
      <c r="AD1030" s="1719"/>
      <c r="AE1030" s="1720"/>
      <c r="AF1030" s="1740" t="str">
        <f>IF(AG1029="yes","Please Select Type and Enter Amount:","")</f>
        <v/>
      </c>
      <c r="AG1030" s="1741"/>
      <c r="AH1030" s="1741"/>
      <c r="AI1030" s="1742"/>
      <c r="AJ1030" s="1671"/>
      <c r="AK1030" s="1672"/>
      <c r="AL1030" s="1672"/>
      <c r="AM1030" s="1672"/>
      <c r="AN1030" s="1672"/>
      <c r="AO1030" s="1672"/>
      <c r="AP1030" s="1672"/>
      <c r="AQ1030" s="1673"/>
      <c r="AR1030" s="68"/>
      <c r="AS1030" s="68"/>
      <c r="AT1030" s="68"/>
      <c r="AU1030" s="68"/>
      <c r="AV1030" s="68"/>
      <c r="AW1030" s="68"/>
      <c r="AX1030" s="3">
        <v>9</v>
      </c>
      <c r="AY1030" s="200">
        <f t="shared" si="55"/>
        <v>0</v>
      </c>
      <c r="AZ1030" s="1189">
        <v>0.01</v>
      </c>
    </row>
    <row r="1031" spans="1:52" ht="12.95" customHeight="1">
      <c r="A1031" s="14"/>
      <c r="B1031" s="81"/>
      <c r="C1031" s="84"/>
      <c r="D1031" s="1674" t="s">
        <v>1290</v>
      </c>
      <c r="E1031" s="1675"/>
      <c r="F1031" s="1675"/>
      <c r="G1031" s="1675"/>
      <c r="H1031" s="1675"/>
      <c r="I1031" s="1675"/>
      <c r="J1031" s="1675"/>
      <c r="K1031" s="1675"/>
      <c r="L1031" s="1675"/>
      <c r="M1031" s="1675"/>
      <c r="N1031" s="1675"/>
      <c r="O1031" s="1675"/>
      <c r="P1031" s="1675"/>
      <c r="Q1031" s="1675"/>
      <c r="R1031" s="1675"/>
      <c r="S1031" s="1675"/>
      <c r="T1031" s="1675"/>
      <c r="U1031" s="1675"/>
      <c r="V1031" s="1675"/>
      <c r="W1031" s="1675"/>
      <c r="X1031" s="1675"/>
      <c r="Y1031" s="1675"/>
      <c r="Z1031" s="1675"/>
      <c r="AA1031" s="1675"/>
      <c r="AB1031" s="1675"/>
      <c r="AC1031" s="1675"/>
      <c r="AD1031" s="1675"/>
      <c r="AE1031" s="1676"/>
      <c r="AF1031" s="1740"/>
      <c r="AG1031" s="1741"/>
      <c r="AH1031" s="1741"/>
      <c r="AI1031" s="1742"/>
      <c r="AJ1031" s="1671"/>
      <c r="AK1031" s="1672"/>
      <c r="AL1031" s="1672"/>
      <c r="AM1031" s="1672"/>
      <c r="AN1031" s="1672"/>
      <c r="AO1031" s="1672"/>
      <c r="AP1031" s="1672"/>
      <c r="AQ1031" s="1673"/>
      <c r="AR1031" s="68"/>
      <c r="AS1031" s="68"/>
      <c r="AT1031" s="68"/>
      <c r="AU1031" s="68"/>
      <c r="AV1031" s="68"/>
      <c r="AW1031" s="68"/>
      <c r="AX1031" s="3">
        <v>10</v>
      </c>
      <c r="AY1031" s="200">
        <f t="shared" si="55"/>
        <v>0</v>
      </c>
      <c r="AZ1031" s="1189">
        <v>0.02</v>
      </c>
    </row>
    <row r="1032" spans="1:52" ht="12.95" customHeight="1">
      <c r="A1032" s="14"/>
      <c r="B1032" s="81"/>
      <c r="C1032" s="84"/>
      <c r="D1032" s="1674"/>
      <c r="E1032" s="1675"/>
      <c r="F1032" s="1675"/>
      <c r="G1032" s="1675"/>
      <c r="H1032" s="1675"/>
      <c r="I1032" s="1675"/>
      <c r="J1032" s="1675"/>
      <c r="K1032" s="1675"/>
      <c r="L1032" s="1675"/>
      <c r="M1032" s="1675"/>
      <c r="N1032" s="1675"/>
      <c r="O1032" s="1675"/>
      <c r="P1032" s="1675"/>
      <c r="Q1032" s="1675"/>
      <c r="R1032" s="1675"/>
      <c r="S1032" s="1675"/>
      <c r="T1032" s="1675"/>
      <c r="U1032" s="1675"/>
      <c r="V1032" s="1675"/>
      <c r="W1032" s="1675"/>
      <c r="X1032" s="1675"/>
      <c r="Y1032" s="1675"/>
      <c r="Z1032" s="1675"/>
      <c r="AA1032" s="1675"/>
      <c r="AB1032" s="1675"/>
      <c r="AC1032" s="1675"/>
      <c r="AD1032" s="1675"/>
      <c r="AE1032" s="1676"/>
      <c r="AF1032" s="1736"/>
      <c r="AG1032" s="1736"/>
      <c r="AH1032" s="1736"/>
      <c r="AI1032" s="1736"/>
      <c r="AJ1032" s="1671"/>
      <c r="AK1032" s="1672"/>
      <c r="AL1032" s="1672"/>
      <c r="AM1032" s="1672"/>
      <c r="AN1032" s="1672"/>
      <c r="AO1032" s="1672"/>
      <c r="AP1032" s="1672"/>
      <c r="AQ1032" s="1673"/>
      <c r="AR1032" s="68"/>
      <c r="AS1032" s="68"/>
      <c r="AT1032" s="68"/>
      <c r="AU1032" s="68"/>
      <c r="AV1032" s="68"/>
      <c r="AW1032" s="68"/>
      <c r="AX1032" s="3">
        <v>11</v>
      </c>
      <c r="AY1032" s="200">
        <f t="shared" si="55"/>
        <v>0</v>
      </c>
      <c r="AZ1032" s="1189">
        <v>0.02</v>
      </c>
    </row>
    <row r="1033" spans="1:52" ht="12.95" customHeight="1">
      <c r="A1033" s="14"/>
      <c r="B1033" s="81"/>
      <c r="C1033" s="84"/>
      <c r="D1033" s="526" t="s">
        <v>357</v>
      </c>
      <c r="E1033" s="90"/>
      <c r="F1033" s="90"/>
      <c r="G1033" s="104"/>
      <c r="H1033" s="104"/>
      <c r="I1033" s="49"/>
      <c r="J1033" s="1779" t="s">
        <v>589</v>
      </c>
      <c r="K1033" s="1780"/>
      <c r="L1033" s="1780"/>
      <c r="M1033" s="1780"/>
      <c r="N1033" s="1780"/>
      <c r="O1033" s="1780"/>
      <c r="P1033" s="1780"/>
      <c r="Q1033" s="1780"/>
      <c r="R1033" s="1780"/>
      <c r="S1033" s="1780"/>
      <c r="T1033" s="1780"/>
      <c r="U1033" s="1780"/>
      <c r="V1033" s="1780"/>
      <c r="W1033" s="1780"/>
      <c r="X1033" s="1780"/>
      <c r="Y1033" s="1780"/>
      <c r="Z1033" s="1780"/>
      <c r="AA1033" s="1780"/>
      <c r="AB1033" s="1780"/>
      <c r="AC1033" s="1780"/>
      <c r="AD1033" s="1780"/>
      <c r="AE1033" s="1781"/>
      <c r="AF1033" s="1736"/>
      <c r="AG1033" s="1736"/>
      <c r="AH1033" s="1736"/>
      <c r="AI1033" s="1736"/>
      <c r="AJ1033" s="1680"/>
      <c r="AK1033" s="1681"/>
      <c r="AL1033" s="1681"/>
      <c r="AM1033" s="1681"/>
      <c r="AN1033" s="1681"/>
      <c r="AO1033" s="1681"/>
      <c r="AP1033" s="1681"/>
      <c r="AQ1033" s="1682"/>
      <c r="AR1033" s="68"/>
      <c r="AS1033" s="68"/>
      <c r="AT1033" s="68"/>
      <c r="AU1033" s="68"/>
      <c r="AV1033" s="68"/>
      <c r="AW1033" s="68"/>
      <c r="AX1033" s="1027" t="s">
        <v>2528</v>
      </c>
      <c r="AY1033" s="201">
        <f>IF(SUM(AY1022:AY1032)&lt;=0.2,SUM(AY1022:AY1032),0.2)</f>
        <v>0</v>
      </c>
    </row>
    <row r="1034" spans="1:52" ht="12.95" customHeight="1">
      <c r="A1034" s="14"/>
      <c r="B1034" s="79"/>
      <c r="C1034" s="80" t="s">
        <v>228</v>
      </c>
      <c r="D1034" s="1650" t="s">
        <v>1291</v>
      </c>
      <c r="E1034" s="1651"/>
      <c r="F1034" s="1651"/>
      <c r="G1034" s="1651"/>
      <c r="H1034" s="1651"/>
      <c r="I1034" s="1651"/>
      <c r="J1034" s="1651"/>
      <c r="K1034" s="1651"/>
      <c r="L1034" s="1651"/>
      <c r="M1034" s="1651"/>
      <c r="N1034" s="1651"/>
      <c r="O1034" s="1651"/>
      <c r="P1034" s="1651"/>
      <c r="Q1034" s="1651"/>
      <c r="R1034" s="1651"/>
      <c r="S1034" s="1651"/>
      <c r="T1034" s="1651"/>
      <c r="U1034" s="1651"/>
      <c r="V1034" s="1651"/>
      <c r="W1034" s="1651"/>
      <c r="X1034" s="1651"/>
      <c r="Y1034" s="1651"/>
      <c r="Z1034" s="1651"/>
      <c r="AA1034" s="1651"/>
      <c r="AB1034" s="1651"/>
      <c r="AC1034" s="1651"/>
      <c r="AD1034" s="1651"/>
      <c r="AE1034" s="1652"/>
      <c r="AF1034" s="79"/>
      <c r="AG1034" s="1695" t="s">
        <v>667</v>
      </c>
      <c r="AH1034" s="1696"/>
      <c r="AI1034" s="87"/>
      <c r="AJ1034" s="1668">
        <f>ROUND(IF(AG1034="Yes",AF1036,0),0)</f>
        <v>0</v>
      </c>
      <c r="AK1034" s="1669"/>
      <c r="AL1034" s="1669"/>
      <c r="AM1034" s="1669"/>
      <c r="AN1034" s="1669"/>
      <c r="AO1034" s="1669"/>
      <c r="AP1034" s="1669"/>
      <c r="AQ1034" s="1670"/>
      <c r="AR1034" s="68"/>
      <c r="AS1034" s="68"/>
      <c r="AT1034" s="68"/>
      <c r="AU1034" s="68"/>
      <c r="AV1034" s="68"/>
      <c r="AW1034" s="68"/>
      <c r="AX1034" s="68"/>
      <c r="AY1034" s="68"/>
    </row>
    <row r="1035" spans="1:52" ht="12.95" customHeight="1">
      <c r="A1035" s="14"/>
      <c r="B1035" s="73"/>
      <c r="C1035" s="74"/>
      <c r="D1035" s="1674" t="s">
        <v>1677</v>
      </c>
      <c r="E1035" s="1675"/>
      <c r="F1035" s="1675"/>
      <c r="G1035" s="1675"/>
      <c r="H1035" s="1675"/>
      <c r="I1035" s="1675"/>
      <c r="J1035" s="1675"/>
      <c r="K1035" s="1675"/>
      <c r="L1035" s="1675"/>
      <c r="M1035" s="1675"/>
      <c r="N1035" s="1675"/>
      <c r="O1035" s="1675"/>
      <c r="P1035" s="1675"/>
      <c r="Q1035" s="1675"/>
      <c r="R1035" s="1675"/>
      <c r="S1035" s="1675"/>
      <c r="T1035" s="1675"/>
      <c r="U1035" s="1675"/>
      <c r="V1035" s="1675"/>
      <c r="W1035" s="1675"/>
      <c r="X1035" s="1675"/>
      <c r="Y1035" s="1675"/>
      <c r="Z1035" s="1675"/>
      <c r="AA1035" s="1675"/>
      <c r="AB1035" s="1675"/>
      <c r="AC1035" s="1675"/>
      <c r="AD1035" s="1675"/>
      <c r="AE1035" s="1676"/>
      <c r="AF1035" s="1721" t="str">
        <f>IF(AG1034="yes","Enter Amount:","")</f>
        <v/>
      </c>
      <c r="AG1035" s="1722"/>
      <c r="AH1035" s="1722"/>
      <c r="AI1035" s="1723"/>
      <c r="AJ1035" s="1671"/>
      <c r="AK1035" s="1672"/>
      <c r="AL1035" s="1672"/>
      <c r="AM1035" s="1672"/>
      <c r="AN1035" s="1672"/>
      <c r="AO1035" s="1672"/>
      <c r="AP1035" s="1672"/>
      <c r="AQ1035" s="1673"/>
      <c r="AR1035" s="68"/>
      <c r="AS1035" s="68"/>
      <c r="AT1035" s="68"/>
      <c r="AU1035" s="68"/>
      <c r="AV1035" s="68"/>
      <c r="AW1035" s="68"/>
      <c r="AX1035" s="68"/>
      <c r="AY1035" s="68"/>
    </row>
    <row r="1036" spans="1:52" ht="12.95" customHeight="1">
      <c r="A1036" s="14"/>
      <c r="B1036" s="73"/>
      <c r="C1036" s="74"/>
      <c r="D1036" s="1674"/>
      <c r="E1036" s="1675"/>
      <c r="F1036" s="1675"/>
      <c r="G1036" s="1675"/>
      <c r="H1036" s="1675"/>
      <c r="I1036" s="1675"/>
      <c r="J1036" s="1675"/>
      <c r="K1036" s="1675"/>
      <c r="L1036" s="1675"/>
      <c r="M1036" s="1675"/>
      <c r="N1036" s="1675"/>
      <c r="O1036" s="1675"/>
      <c r="P1036" s="1675"/>
      <c r="Q1036" s="1675"/>
      <c r="R1036" s="1675"/>
      <c r="S1036" s="1675"/>
      <c r="T1036" s="1675"/>
      <c r="U1036" s="1675"/>
      <c r="V1036" s="1675"/>
      <c r="W1036" s="1675"/>
      <c r="X1036" s="1675"/>
      <c r="Y1036" s="1675"/>
      <c r="Z1036" s="1675"/>
      <c r="AA1036" s="1675"/>
      <c r="AB1036" s="1675"/>
      <c r="AC1036" s="1675"/>
      <c r="AD1036" s="1675"/>
      <c r="AE1036" s="1676"/>
      <c r="AF1036" s="1736"/>
      <c r="AG1036" s="1736"/>
      <c r="AH1036" s="1736"/>
      <c r="AI1036" s="1736"/>
      <c r="AJ1036" s="1671"/>
      <c r="AK1036" s="1672"/>
      <c r="AL1036" s="1672"/>
      <c r="AM1036" s="1672"/>
      <c r="AN1036" s="1672"/>
      <c r="AO1036" s="1672"/>
      <c r="AP1036" s="1672"/>
      <c r="AQ1036" s="1673"/>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677"/>
      <c r="E1037" s="1678"/>
      <c r="F1037" s="1678"/>
      <c r="G1037" s="1678"/>
      <c r="H1037" s="1678"/>
      <c r="I1037" s="1678"/>
      <c r="J1037" s="1678"/>
      <c r="K1037" s="1678"/>
      <c r="L1037" s="1678"/>
      <c r="M1037" s="1678"/>
      <c r="N1037" s="1678"/>
      <c r="O1037" s="1678"/>
      <c r="P1037" s="1678"/>
      <c r="Q1037" s="1678"/>
      <c r="R1037" s="1678"/>
      <c r="S1037" s="1678"/>
      <c r="T1037" s="1678"/>
      <c r="U1037" s="1678"/>
      <c r="V1037" s="1678"/>
      <c r="W1037" s="1678"/>
      <c r="X1037" s="1678"/>
      <c r="Y1037" s="1678"/>
      <c r="Z1037" s="1678"/>
      <c r="AA1037" s="1678"/>
      <c r="AB1037" s="1678"/>
      <c r="AC1037" s="1678"/>
      <c r="AD1037" s="1678"/>
      <c r="AE1037" s="1679"/>
      <c r="AF1037" s="1736"/>
      <c r="AG1037" s="1736"/>
      <c r="AH1037" s="1736"/>
      <c r="AI1037" s="1736"/>
      <c r="AJ1037" s="1680"/>
      <c r="AK1037" s="1681"/>
      <c r="AL1037" s="1681"/>
      <c r="AM1037" s="1681"/>
      <c r="AN1037" s="1681"/>
      <c r="AO1037" s="1681"/>
      <c r="AP1037" s="1681"/>
      <c r="AQ1037" s="1682"/>
      <c r="AR1037" s="68"/>
      <c r="AS1037" s="68"/>
      <c r="AT1037" s="68"/>
      <c r="AU1037" s="68"/>
      <c r="AV1037" s="68"/>
      <c r="AW1037" s="68"/>
      <c r="AX1037" s="68"/>
      <c r="AY1037" s="68"/>
    </row>
    <row r="1038" spans="1:52" ht="12.95" customHeight="1">
      <c r="A1038" s="14"/>
      <c r="B1038" s="79"/>
      <c r="C1038" s="80" t="s">
        <v>233</v>
      </c>
      <c r="D1038" s="1689" t="s">
        <v>1292</v>
      </c>
      <c r="E1038" s="1690"/>
      <c r="F1038" s="1690"/>
      <c r="G1038" s="1690"/>
      <c r="H1038" s="1690"/>
      <c r="I1038" s="1690"/>
      <c r="J1038" s="1690"/>
      <c r="K1038" s="1690"/>
      <c r="L1038" s="1690"/>
      <c r="M1038" s="1690"/>
      <c r="N1038" s="1690"/>
      <c r="O1038" s="1690"/>
      <c r="P1038" s="1690"/>
      <c r="Q1038" s="1690"/>
      <c r="R1038" s="1690"/>
      <c r="S1038" s="1690"/>
      <c r="T1038" s="1690"/>
      <c r="U1038" s="1690"/>
      <c r="V1038" s="1690"/>
      <c r="W1038" s="1690"/>
      <c r="X1038" s="1690"/>
      <c r="Y1038" s="1690"/>
      <c r="Z1038" s="1690"/>
      <c r="AA1038" s="1690"/>
      <c r="AB1038" s="1690"/>
      <c r="AC1038" s="1690"/>
      <c r="AD1038" s="1690"/>
      <c r="AE1038" s="1691"/>
      <c r="AF1038" s="79"/>
      <c r="AG1038" s="1695" t="s">
        <v>667</v>
      </c>
      <c r="AH1038" s="1696"/>
      <c r="AI1038" s="87"/>
      <c r="AJ1038" s="1668">
        <f>ROUND(IF(AG1038="yes",(AJ1001*0.1),0),0)</f>
        <v>0</v>
      </c>
      <c r="AK1038" s="1669"/>
      <c r="AL1038" s="1669"/>
      <c r="AM1038" s="1669"/>
      <c r="AN1038" s="1669"/>
      <c r="AO1038" s="1669"/>
      <c r="AP1038" s="1669"/>
      <c r="AQ1038" s="1670"/>
      <c r="AR1038" s="68"/>
      <c r="AS1038" s="68"/>
      <c r="AT1038" s="68"/>
      <c r="AU1038" s="68"/>
      <c r="AV1038" s="68"/>
      <c r="AW1038" s="68"/>
      <c r="AX1038" s="68"/>
      <c r="AY1038" s="68"/>
    </row>
    <row r="1039" spans="1:52" ht="12.95" customHeight="1">
      <c r="A1039" s="14"/>
      <c r="B1039" s="73"/>
      <c r="C1039" s="74"/>
      <c r="D1039" s="1674" t="s">
        <v>1293</v>
      </c>
      <c r="E1039" s="1675"/>
      <c r="F1039" s="1675"/>
      <c r="G1039" s="1675"/>
      <c r="H1039" s="1675"/>
      <c r="I1039" s="1675"/>
      <c r="J1039" s="1675"/>
      <c r="K1039" s="1675"/>
      <c r="L1039" s="1675"/>
      <c r="M1039" s="1675"/>
      <c r="N1039" s="1675"/>
      <c r="O1039" s="1675"/>
      <c r="P1039" s="1675"/>
      <c r="Q1039" s="1675"/>
      <c r="R1039" s="1675"/>
      <c r="S1039" s="1675"/>
      <c r="T1039" s="1675"/>
      <c r="U1039" s="1675"/>
      <c r="V1039" s="1675"/>
      <c r="W1039" s="1675"/>
      <c r="X1039" s="1675"/>
      <c r="Y1039" s="1675"/>
      <c r="Z1039" s="1675"/>
      <c r="AA1039" s="1675"/>
      <c r="AB1039" s="1675"/>
      <c r="AC1039" s="1675"/>
      <c r="AD1039" s="1675"/>
      <c r="AE1039" s="1676"/>
      <c r="AF1039" s="73"/>
      <c r="AG1039" s="14"/>
      <c r="AH1039" s="14"/>
      <c r="AI1039" s="83"/>
      <c r="AJ1039" s="1671"/>
      <c r="AK1039" s="1672"/>
      <c r="AL1039" s="1672"/>
      <c r="AM1039" s="1672"/>
      <c r="AN1039" s="1672"/>
      <c r="AO1039" s="1672"/>
      <c r="AP1039" s="1672"/>
      <c r="AQ1039" s="1673"/>
      <c r="AR1039" s="68"/>
      <c r="AS1039" s="68"/>
      <c r="AT1039" s="68"/>
      <c r="AU1039" s="68"/>
      <c r="AV1039" s="68"/>
      <c r="AW1039" s="68"/>
      <c r="AX1039" s="68"/>
      <c r="AY1039" s="68"/>
    </row>
    <row r="1040" spans="1:52" ht="12.95" customHeight="1">
      <c r="A1040" s="14"/>
      <c r="B1040" s="77"/>
      <c r="C1040" s="74"/>
      <c r="D1040" s="1677"/>
      <c r="E1040" s="1678"/>
      <c r="F1040" s="1678"/>
      <c r="G1040" s="1678"/>
      <c r="H1040" s="1678"/>
      <c r="I1040" s="1678"/>
      <c r="J1040" s="1678"/>
      <c r="K1040" s="1678"/>
      <c r="L1040" s="1678"/>
      <c r="M1040" s="1678"/>
      <c r="N1040" s="1678"/>
      <c r="O1040" s="1678"/>
      <c r="P1040" s="1678"/>
      <c r="Q1040" s="1678"/>
      <c r="R1040" s="1678"/>
      <c r="S1040" s="1678"/>
      <c r="T1040" s="1678"/>
      <c r="U1040" s="1678"/>
      <c r="V1040" s="1678"/>
      <c r="W1040" s="1678"/>
      <c r="X1040" s="1678"/>
      <c r="Y1040" s="1678"/>
      <c r="Z1040" s="1678"/>
      <c r="AA1040" s="1678"/>
      <c r="AB1040" s="1678"/>
      <c r="AC1040" s="1678"/>
      <c r="AD1040" s="1678"/>
      <c r="AE1040" s="1679"/>
      <c r="AF1040" s="73"/>
      <c r="AG1040" s="14"/>
      <c r="AH1040" s="14"/>
      <c r="AI1040" s="83"/>
      <c r="AJ1040" s="1680"/>
      <c r="AK1040" s="1681"/>
      <c r="AL1040" s="1681"/>
      <c r="AM1040" s="1681"/>
      <c r="AN1040" s="1681"/>
      <c r="AO1040" s="1681"/>
      <c r="AP1040" s="1681"/>
      <c r="AQ1040" s="1682"/>
      <c r="AR1040" s="68"/>
      <c r="AS1040" s="68"/>
      <c r="AT1040" s="68"/>
      <c r="AU1040" s="68"/>
      <c r="AV1040" s="68"/>
      <c r="AW1040" s="68"/>
      <c r="AX1040" s="68"/>
      <c r="AY1040" s="68"/>
    </row>
    <row r="1041" spans="1:57" ht="12.95" customHeight="1">
      <c r="A1041" s="14"/>
      <c r="B1041" s="73"/>
      <c r="C1041" s="339" t="s">
        <v>685</v>
      </c>
      <c r="D1041" s="1650" t="s">
        <v>1673</v>
      </c>
      <c r="E1041" s="1651"/>
      <c r="F1041" s="1651"/>
      <c r="G1041" s="1651"/>
      <c r="H1041" s="1651"/>
      <c r="I1041" s="1651"/>
      <c r="J1041" s="1651"/>
      <c r="K1041" s="1651"/>
      <c r="L1041" s="1651"/>
      <c r="M1041" s="1651"/>
      <c r="N1041" s="1651"/>
      <c r="O1041" s="1651"/>
      <c r="P1041" s="1651"/>
      <c r="Q1041" s="1651"/>
      <c r="R1041" s="1651"/>
      <c r="S1041" s="1651"/>
      <c r="T1041" s="1651"/>
      <c r="U1041" s="1651"/>
      <c r="V1041" s="1651"/>
      <c r="W1041" s="1651"/>
      <c r="X1041" s="1651"/>
      <c r="Y1041" s="1651"/>
      <c r="Z1041" s="1651"/>
      <c r="AA1041" s="1651"/>
      <c r="AB1041" s="1651"/>
      <c r="AC1041" s="1651"/>
      <c r="AD1041" s="1651"/>
      <c r="AE1041" s="1652"/>
      <c r="AF1041" s="79"/>
      <c r="AG1041" s="1695" t="s">
        <v>667</v>
      </c>
      <c r="AH1041" s="1696"/>
      <c r="AI1041" s="87"/>
      <c r="AJ1041" s="1668">
        <f>ROUND(IF(AG1041="yes",(AJ1001*0.15),0),0)</f>
        <v>0</v>
      </c>
      <c r="AK1041" s="1669"/>
      <c r="AL1041" s="1669"/>
      <c r="AM1041" s="1669"/>
      <c r="AN1041" s="1669"/>
      <c r="AO1041" s="1669"/>
      <c r="AP1041" s="1669"/>
      <c r="AQ1041" s="1670"/>
      <c r="AR1041" s="68"/>
      <c r="AS1041" s="68"/>
      <c r="AT1041" s="68"/>
      <c r="AU1041" s="68"/>
      <c r="AV1041" s="68"/>
      <c r="AW1041" s="68"/>
      <c r="AX1041" s="68"/>
      <c r="AY1041" s="68"/>
    </row>
    <row r="1042" spans="1:57" ht="12.95" customHeight="1">
      <c r="A1042" s="14"/>
      <c r="B1042" s="73"/>
      <c r="C1042" s="74"/>
      <c r="D1042" s="1697" t="s">
        <v>1674</v>
      </c>
      <c r="E1042" s="1500"/>
      <c r="F1042" s="1500"/>
      <c r="G1042" s="1500"/>
      <c r="H1042" s="1500"/>
      <c r="I1042" s="1500"/>
      <c r="J1042" s="1500"/>
      <c r="K1042" s="1500"/>
      <c r="L1042" s="1500"/>
      <c r="M1042" s="1500"/>
      <c r="N1042" s="1500"/>
      <c r="O1042" s="1500"/>
      <c r="P1042" s="1500"/>
      <c r="Q1042" s="1500"/>
      <c r="R1042" s="1500"/>
      <c r="S1042" s="1500"/>
      <c r="T1042" s="1500"/>
      <c r="U1042" s="1500"/>
      <c r="V1042" s="1500"/>
      <c r="W1042" s="1500"/>
      <c r="X1042" s="1500"/>
      <c r="Y1042" s="1500"/>
      <c r="Z1042" s="1500"/>
      <c r="AA1042" s="1500"/>
      <c r="AB1042" s="1500"/>
      <c r="AC1042" s="1500"/>
      <c r="AD1042" s="1500"/>
      <c r="AE1042" s="1698"/>
      <c r="AF1042" s="911"/>
      <c r="AG1042" s="912"/>
      <c r="AH1042" s="912"/>
      <c r="AI1042" s="913"/>
      <c r="AJ1042" s="1671"/>
      <c r="AK1042" s="1672"/>
      <c r="AL1042" s="1672"/>
      <c r="AM1042" s="1672"/>
      <c r="AN1042" s="1672"/>
      <c r="AO1042" s="1672"/>
      <c r="AP1042" s="1672"/>
      <c r="AQ1042" s="1673"/>
      <c r="AR1042" s="68"/>
      <c r="AS1042" s="68"/>
      <c r="AT1042" s="68"/>
      <c r="AU1042" s="68"/>
      <c r="AV1042" s="68"/>
      <c r="AW1042" s="68"/>
      <c r="AX1042" s="68"/>
      <c r="AY1042" s="68"/>
    </row>
    <row r="1043" spans="1:57" ht="12.95" customHeight="1">
      <c r="A1043" s="14"/>
      <c r="B1043" s="73"/>
      <c r="C1043" s="74"/>
      <c r="D1043" s="1697"/>
      <c r="E1043" s="1500"/>
      <c r="F1043" s="1500"/>
      <c r="G1043" s="1500"/>
      <c r="H1043" s="1500"/>
      <c r="I1043" s="1500"/>
      <c r="J1043" s="1500"/>
      <c r="K1043" s="1500"/>
      <c r="L1043" s="1500"/>
      <c r="M1043" s="1500"/>
      <c r="N1043" s="1500"/>
      <c r="O1043" s="1500"/>
      <c r="P1043" s="1500"/>
      <c r="Q1043" s="1500"/>
      <c r="R1043" s="1500"/>
      <c r="S1043" s="1500"/>
      <c r="T1043" s="1500"/>
      <c r="U1043" s="1500"/>
      <c r="V1043" s="1500"/>
      <c r="W1043" s="1500"/>
      <c r="X1043" s="1500"/>
      <c r="Y1043" s="1500"/>
      <c r="Z1043" s="1500"/>
      <c r="AA1043" s="1500"/>
      <c r="AB1043" s="1500"/>
      <c r="AC1043" s="1500"/>
      <c r="AD1043" s="1500"/>
      <c r="AE1043" s="1698"/>
      <c r="AF1043" s="911"/>
      <c r="AG1043" s="912"/>
      <c r="AH1043" s="912"/>
      <c r="AI1043" s="913"/>
      <c r="AJ1043" s="1671"/>
      <c r="AK1043" s="1672"/>
      <c r="AL1043" s="1672"/>
      <c r="AM1043" s="1672"/>
      <c r="AN1043" s="1672"/>
      <c r="AO1043" s="1672"/>
      <c r="AP1043" s="1672"/>
      <c r="AQ1043" s="1673"/>
      <c r="AR1043" s="68"/>
      <c r="AS1043" s="68"/>
      <c r="AT1043" s="68"/>
      <c r="AU1043" s="68"/>
      <c r="AV1043" s="68"/>
      <c r="AW1043" s="68"/>
      <c r="AX1043" s="68"/>
      <c r="AY1043" s="68"/>
    </row>
    <row r="1044" spans="1:57" ht="12.95" customHeight="1">
      <c r="A1044" s="14"/>
      <c r="B1044" s="73"/>
      <c r="C1044" s="74"/>
      <c r="D1044" s="1699"/>
      <c r="E1044" s="1700"/>
      <c r="F1044" s="1700"/>
      <c r="G1044" s="1700"/>
      <c r="H1044" s="1700"/>
      <c r="I1044" s="1700"/>
      <c r="J1044" s="1700"/>
      <c r="K1044" s="1700"/>
      <c r="L1044" s="1700"/>
      <c r="M1044" s="1700"/>
      <c r="N1044" s="1700"/>
      <c r="O1044" s="1700"/>
      <c r="P1044" s="1700"/>
      <c r="Q1044" s="1700"/>
      <c r="R1044" s="1700"/>
      <c r="S1044" s="1700"/>
      <c r="T1044" s="1700"/>
      <c r="U1044" s="1700"/>
      <c r="V1044" s="1700"/>
      <c r="W1044" s="1700"/>
      <c r="X1044" s="1700"/>
      <c r="Y1044" s="1700"/>
      <c r="Z1044" s="1700"/>
      <c r="AA1044" s="1700"/>
      <c r="AB1044" s="1700"/>
      <c r="AC1044" s="1700"/>
      <c r="AD1044" s="1700"/>
      <c r="AE1044" s="1701"/>
      <c r="AF1044" s="914"/>
      <c r="AG1044" s="915"/>
      <c r="AH1044" s="915"/>
      <c r="AI1044" s="916"/>
      <c r="AJ1044" s="1680"/>
      <c r="AK1044" s="1681"/>
      <c r="AL1044" s="1681"/>
      <c r="AM1044" s="1681"/>
      <c r="AN1044" s="1681"/>
      <c r="AO1044" s="1681"/>
      <c r="AP1044" s="1681"/>
      <c r="AQ1044" s="1682"/>
      <c r="AR1044" s="68"/>
      <c r="AS1044" s="68"/>
      <c r="AT1044" s="68"/>
      <c r="AU1044" s="68"/>
      <c r="AV1044" s="68"/>
      <c r="AW1044" s="68"/>
      <c r="AX1044" s="68"/>
      <c r="AY1044" s="68"/>
    </row>
    <row r="1045" spans="1:57" ht="12.95" customHeight="1">
      <c r="A1045" s="14"/>
      <c r="B1045" s="73"/>
      <c r="C1045" s="339" t="s">
        <v>685</v>
      </c>
      <c r="D1045" s="1689" t="s">
        <v>1675</v>
      </c>
      <c r="E1045" s="1690"/>
      <c r="F1045" s="1690"/>
      <c r="G1045" s="1690"/>
      <c r="H1045" s="1690"/>
      <c r="I1045" s="1690"/>
      <c r="J1045" s="1690"/>
      <c r="K1045" s="1690"/>
      <c r="L1045" s="1690"/>
      <c r="M1045" s="1690"/>
      <c r="N1045" s="1690"/>
      <c r="O1045" s="1690"/>
      <c r="P1045" s="1690"/>
      <c r="Q1045" s="1690"/>
      <c r="R1045" s="1690"/>
      <c r="S1045" s="1690"/>
      <c r="T1045" s="1690"/>
      <c r="U1045" s="1690"/>
      <c r="V1045" s="1690"/>
      <c r="W1045" s="1690"/>
      <c r="X1045" s="1690"/>
      <c r="Y1045" s="1690"/>
      <c r="Z1045" s="1690"/>
      <c r="AA1045" s="1690"/>
      <c r="AB1045" s="1690"/>
      <c r="AC1045" s="1690"/>
      <c r="AD1045" s="1690"/>
      <c r="AE1045" s="1691"/>
      <c r="AF1045" s="73"/>
      <c r="AG1045" s="1704" t="s">
        <v>667</v>
      </c>
      <c r="AH1045" s="1705"/>
      <c r="AI1045" s="83"/>
      <c r="AJ1045" s="1668">
        <f>ROUND(IF(AND(AG1045="yes",AJ1041=0),(AJ1001*0.1),0),0)</f>
        <v>0</v>
      </c>
      <c r="AK1045" s="1669"/>
      <c r="AL1045" s="1669"/>
      <c r="AM1045" s="1669"/>
      <c r="AN1045" s="1669"/>
      <c r="AO1045" s="1669"/>
      <c r="AP1045" s="1669"/>
      <c r="AQ1045" s="1670"/>
      <c r="AR1045" s="68"/>
      <c r="AS1045" s="68"/>
      <c r="AT1045" s="68"/>
      <c r="AU1045" s="68"/>
      <c r="AV1045" s="68"/>
      <c r="AW1045" s="68"/>
      <c r="AX1045" s="68"/>
      <c r="AY1045" s="68"/>
    </row>
    <row r="1046" spans="1:57" ht="12.95" customHeight="1">
      <c r="A1046" s="14"/>
      <c r="B1046" s="73"/>
      <c r="C1046" s="74"/>
      <c r="D1046" s="1697" t="s">
        <v>1676</v>
      </c>
      <c r="E1046" s="1500"/>
      <c r="F1046" s="1500"/>
      <c r="G1046" s="1500"/>
      <c r="H1046" s="1500"/>
      <c r="I1046" s="1500"/>
      <c r="J1046" s="1500"/>
      <c r="K1046" s="1500"/>
      <c r="L1046" s="1500"/>
      <c r="M1046" s="1500"/>
      <c r="N1046" s="1500"/>
      <c r="O1046" s="1500"/>
      <c r="P1046" s="1500"/>
      <c r="Q1046" s="1500"/>
      <c r="R1046" s="1500"/>
      <c r="S1046" s="1500"/>
      <c r="T1046" s="1500"/>
      <c r="U1046" s="1500"/>
      <c r="V1046" s="1500"/>
      <c r="W1046" s="1500"/>
      <c r="X1046" s="1500"/>
      <c r="Y1046" s="1500"/>
      <c r="Z1046" s="1500"/>
      <c r="AA1046" s="1500"/>
      <c r="AB1046" s="1500"/>
      <c r="AC1046" s="1500"/>
      <c r="AD1046" s="1500"/>
      <c r="AE1046" s="1698"/>
      <c r="AF1046" s="73"/>
      <c r="AG1046" s="14"/>
      <c r="AH1046" s="14"/>
      <c r="AI1046" s="83"/>
      <c r="AJ1046" s="1671"/>
      <c r="AK1046" s="1672"/>
      <c r="AL1046" s="1672"/>
      <c r="AM1046" s="1672"/>
      <c r="AN1046" s="1672"/>
      <c r="AO1046" s="1672"/>
      <c r="AP1046" s="1672"/>
      <c r="AQ1046" s="1673"/>
      <c r="AR1046" s="68"/>
      <c r="AS1046" s="68"/>
      <c r="AT1046" s="68"/>
      <c r="AU1046" s="68"/>
      <c r="AV1046" s="68"/>
      <c r="AW1046" s="68"/>
      <c r="AX1046" s="68"/>
      <c r="AY1046" s="68"/>
    </row>
    <row r="1047" spans="1:57" ht="12.95" customHeight="1">
      <c r="A1047" s="14"/>
      <c r="B1047" s="73"/>
      <c r="C1047" s="74"/>
      <c r="D1047" s="1697"/>
      <c r="E1047" s="1500"/>
      <c r="F1047" s="1500"/>
      <c r="G1047" s="1500"/>
      <c r="H1047" s="1500"/>
      <c r="I1047" s="1500"/>
      <c r="J1047" s="1500"/>
      <c r="K1047" s="1500"/>
      <c r="L1047" s="1500"/>
      <c r="M1047" s="1500"/>
      <c r="N1047" s="1500"/>
      <c r="O1047" s="1500"/>
      <c r="P1047" s="1500"/>
      <c r="Q1047" s="1500"/>
      <c r="R1047" s="1500"/>
      <c r="S1047" s="1500"/>
      <c r="T1047" s="1500"/>
      <c r="U1047" s="1500"/>
      <c r="V1047" s="1500"/>
      <c r="W1047" s="1500"/>
      <c r="X1047" s="1500"/>
      <c r="Y1047" s="1500"/>
      <c r="Z1047" s="1500"/>
      <c r="AA1047" s="1500"/>
      <c r="AB1047" s="1500"/>
      <c r="AC1047" s="1500"/>
      <c r="AD1047" s="1500"/>
      <c r="AE1047" s="1698"/>
      <c r="AF1047" s="73"/>
      <c r="AG1047" s="14"/>
      <c r="AH1047" s="14"/>
      <c r="AI1047" s="83"/>
      <c r="AJ1047" s="1671"/>
      <c r="AK1047" s="1672"/>
      <c r="AL1047" s="1672"/>
      <c r="AM1047" s="1672"/>
      <c r="AN1047" s="1672"/>
      <c r="AO1047" s="1672"/>
      <c r="AP1047" s="1672"/>
      <c r="AQ1047" s="1673"/>
      <c r="AR1047" s="68"/>
      <c r="AS1047" s="68"/>
      <c r="AT1047" s="68"/>
      <c r="AU1047" s="68"/>
      <c r="AV1047" s="68"/>
      <c r="AW1047" s="68"/>
      <c r="AX1047" s="68"/>
      <c r="AY1047" s="68"/>
      <c r="BA1047" s="1176">
        <f>IFERROR(('Sources and Uses Budget'!$C$17+'Sources and Uses Budget'!$C$18+'Sources and Uses Budget'!$C$22)/$AG$446,0)</f>
        <v>0</v>
      </c>
      <c r="BB1047" s="1176" t="s">
        <v>2416</v>
      </c>
      <c r="BC1047" s="1176"/>
      <c r="BD1047" s="1176"/>
      <c r="BE1047" s="1176"/>
    </row>
    <row r="1048" spans="1:57" ht="12.95" customHeight="1">
      <c r="A1048" s="14"/>
      <c r="B1048" s="73"/>
      <c r="C1048" s="74"/>
      <c r="D1048" s="1697"/>
      <c r="E1048" s="1500"/>
      <c r="F1048" s="1500"/>
      <c r="G1048" s="1500"/>
      <c r="H1048" s="1500"/>
      <c r="I1048" s="1500"/>
      <c r="J1048" s="1500"/>
      <c r="K1048" s="1500"/>
      <c r="L1048" s="1500"/>
      <c r="M1048" s="1500"/>
      <c r="N1048" s="1500"/>
      <c r="O1048" s="1500"/>
      <c r="P1048" s="1500"/>
      <c r="Q1048" s="1500"/>
      <c r="R1048" s="1500"/>
      <c r="S1048" s="1500"/>
      <c r="T1048" s="1500"/>
      <c r="U1048" s="1500"/>
      <c r="V1048" s="1500"/>
      <c r="W1048" s="1500"/>
      <c r="X1048" s="1500"/>
      <c r="Y1048" s="1500"/>
      <c r="Z1048" s="1500"/>
      <c r="AA1048" s="1500"/>
      <c r="AB1048" s="1500"/>
      <c r="AC1048" s="1500"/>
      <c r="AD1048" s="1500"/>
      <c r="AE1048" s="1698"/>
      <c r="AF1048" s="73"/>
      <c r="AG1048" s="14"/>
      <c r="AH1048" s="14"/>
      <c r="AI1048" s="83"/>
      <c r="AJ1048" s="1671"/>
      <c r="AK1048" s="1672"/>
      <c r="AL1048" s="1672"/>
      <c r="AM1048" s="1672"/>
      <c r="AN1048" s="1672"/>
      <c r="AO1048" s="1672"/>
      <c r="AP1048" s="1672"/>
      <c r="AQ1048" s="1673"/>
      <c r="AR1048" s="68"/>
      <c r="AS1048" s="68"/>
      <c r="AT1048" s="68"/>
      <c r="AU1048" s="68"/>
      <c r="AV1048" s="68"/>
      <c r="AW1048" s="68"/>
      <c r="AX1048" s="68"/>
      <c r="AY1048" s="68"/>
      <c r="BA1048">
        <f>IFERROR((($CI$761+$CM$761)/$AG$449),0)</f>
        <v>0.20253164556962025</v>
      </c>
      <c r="BB1048" s="3" t="s">
        <v>2420</v>
      </c>
    </row>
    <row r="1049" spans="1:57" ht="12.95" customHeight="1">
      <c r="A1049" s="14"/>
      <c r="B1049" s="73"/>
      <c r="C1049" s="74"/>
      <c r="D1049" s="1699"/>
      <c r="E1049" s="1700"/>
      <c r="F1049" s="1700"/>
      <c r="G1049" s="1700"/>
      <c r="H1049" s="1700"/>
      <c r="I1049" s="1700"/>
      <c r="J1049" s="1700"/>
      <c r="K1049" s="1700"/>
      <c r="L1049" s="1700"/>
      <c r="M1049" s="1700"/>
      <c r="N1049" s="1700"/>
      <c r="O1049" s="1700"/>
      <c r="P1049" s="1700"/>
      <c r="Q1049" s="1700"/>
      <c r="R1049" s="1700"/>
      <c r="S1049" s="1700"/>
      <c r="T1049" s="1700"/>
      <c r="U1049" s="1700"/>
      <c r="V1049" s="1700"/>
      <c r="W1049" s="1700"/>
      <c r="X1049" s="1700"/>
      <c r="Y1049" s="1700"/>
      <c r="Z1049" s="1700"/>
      <c r="AA1049" s="1700"/>
      <c r="AB1049" s="1700"/>
      <c r="AC1049" s="1700"/>
      <c r="AD1049" s="1700"/>
      <c r="AE1049" s="1701"/>
      <c r="AF1049" s="73"/>
      <c r="AG1049" s="14"/>
      <c r="AH1049" s="14"/>
      <c r="AI1049" s="83"/>
      <c r="AJ1049" s="1671"/>
      <c r="AK1049" s="1672"/>
      <c r="AL1049" s="1672"/>
      <c r="AM1049" s="1672"/>
      <c r="AN1049" s="1672"/>
      <c r="AO1049" s="1672"/>
      <c r="AP1049" s="1672"/>
      <c r="AQ1049" s="1673"/>
      <c r="AR1049" s="68"/>
      <c r="AS1049" s="68"/>
      <c r="AT1049" s="68"/>
      <c r="AU1049" s="68"/>
      <c r="AV1049" s="68"/>
      <c r="AW1049" s="68"/>
      <c r="AX1049" s="68"/>
      <c r="AY1049" s="68"/>
      <c r="BA1049" t="b">
        <f>'Points System'!AJ163="Yes"</f>
        <v>0</v>
      </c>
      <c r="BB1049" s="3" t="s">
        <v>2417</v>
      </c>
    </row>
    <row r="1050" spans="1:57" ht="12.95" customHeight="1">
      <c r="A1050" s="14"/>
      <c r="B1050" s="79"/>
      <c r="C1050" s="131" t="s">
        <v>1008</v>
      </c>
      <c r="D1050" s="1650" t="s">
        <v>1294</v>
      </c>
      <c r="E1050" s="1651"/>
      <c r="F1050" s="1651"/>
      <c r="G1050" s="1651"/>
      <c r="H1050" s="1651"/>
      <c r="I1050" s="1651"/>
      <c r="J1050" s="1651"/>
      <c r="K1050" s="1651"/>
      <c r="L1050" s="1651"/>
      <c r="M1050" s="1651"/>
      <c r="N1050" s="1651"/>
      <c r="O1050" s="1651"/>
      <c r="P1050" s="1651"/>
      <c r="Q1050" s="1651"/>
      <c r="R1050" s="1651"/>
      <c r="S1050" s="1651"/>
      <c r="T1050" s="1651"/>
      <c r="U1050" s="1651"/>
      <c r="V1050" s="1651"/>
      <c r="W1050" s="1651"/>
      <c r="X1050" s="1651"/>
      <c r="Y1050" s="1651"/>
      <c r="Z1050" s="1651"/>
      <c r="AA1050" s="1651"/>
      <c r="AB1050" s="1651"/>
      <c r="AC1050" s="1651"/>
      <c r="AD1050" s="1651"/>
      <c r="AE1050" s="1652"/>
      <c r="AF1050" s="79"/>
      <c r="AG1050" s="1695" t="s">
        <v>667</v>
      </c>
      <c r="AH1050" s="1696"/>
      <c r="AI1050" s="87"/>
      <c r="AJ1050" s="1668">
        <f>ROUND(IF(AG1050="yes",(AJ1001*0.1),0),0)</f>
        <v>0</v>
      </c>
      <c r="AK1050" s="1669"/>
      <c r="AL1050" s="1669"/>
      <c r="AM1050" s="1669"/>
      <c r="AN1050" s="1669"/>
      <c r="AO1050" s="1669"/>
      <c r="AP1050" s="1669"/>
      <c r="AQ1050" s="1670"/>
      <c r="AR1050" s="68"/>
      <c r="AS1050" s="68"/>
      <c r="AT1050" s="68"/>
      <c r="AU1050" s="68"/>
      <c r="AV1050" s="68"/>
      <c r="AW1050" s="68"/>
      <c r="AX1050" s="68"/>
      <c r="AY1050" s="68"/>
      <c r="BA1050">
        <f>Q212</f>
        <v>0</v>
      </c>
      <c r="BB1050" s="3" t="s">
        <v>2418</v>
      </c>
    </row>
    <row r="1051" spans="1:57" ht="12.95" customHeight="1">
      <c r="A1051" s="14"/>
      <c r="B1051" s="73"/>
      <c r="C1051" s="74"/>
      <c r="D1051" s="1674" t="s">
        <v>2096</v>
      </c>
      <c r="E1051" s="1675"/>
      <c r="F1051" s="1675"/>
      <c r="G1051" s="1675"/>
      <c r="H1051" s="1675"/>
      <c r="I1051" s="1675"/>
      <c r="J1051" s="1675"/>
      <c r="K1051" s="1675"/>
      <c r="L1051" s="1675"/>
      <c r="M1051" s="1675"/>
      <c r="N1051" s="1675"/>
      <c r="O1051" s="1675"/>
      <c r="P1051" s="1675"/>
      <c r="Q1051" s="1675"/>
      <c r="R1051" s="1675"/>
      <c r="S1051" s="1675"/>
      <c r="T1051" s="1675"/>
      <c r="U1051" s="1675"/>
      <c r="V1051" s="1675"/>
      <c r="W1051" s="1675"/>
      <c r="X1051" s="1675"/>
      <c r="Y1051" s="1675"/>
      <c r="Z1051" s="1675"/>
      <c r="AA1051" s="1675"/>
      <c r="AB1051" s="1675"/>
      <c r="AC1051" s="1675"/>
      <c r="AD1051" s="1675"/>
      <c r="AE1051" s="1676"/>
      <c r="AF1051" s="73"/>
      <c r="AG1051" s="14"/>
      <c r="AH1051" s="14"/>
      <c r="AI1051" s="83"/>
      <c r="AJ1051" s="1671"/>
      <c r="AK1051" s="1672"/>
      <c r="AL1051" s="1672"/>
      <c r="AM1051" s="1672"/>
      <c r="AN1051" s="1672"/>
      <c r="AO1051" s="1672"/>
      <c r="AP1051" s="1672"/>
      <c r="AQ1051" s="1673"/>
      <c r="AR1051" s="68"/>
      <c r="AS1051" s="68"/>
      <c r="AT1051" s="68"/>
      <c r="AU1051" s="68"/>
      <c r="AV1051" s="68"/>
      <c r="AW1051" s="68"/>
      <c r="AX1051" s="68"/>
      <c r="AY1051" s="68"/>
      <c r="BA1051" s="1177">
        <f>T212</f>
        <v>0</v>
      </c>
      <c r="BB1051" s="3" t="s">
        <v>2419</v>
      </c>
    </row>
    <row r="1052" spans="1:57" ht="12.95" customHeight="1">
      <c r="A1052" s="14"/>
      <c r="B1052" s="73"/>
      <c r="C1052" s="74"/>
      <c r="D1052" s="1674"/>
      <c r="E1052" s="1675"/>
      <c r="F1052" s="1675"/>
      <c r="G1052" s="1675"/>
      <c r="H1052" s="1675"/>
      <c r="I1052" s="1675"/>
      <c r="J1052" s="1675"/>
      <c r="K1052" s="1675"/>
      <c r="L1052" s="1675"/>
      <c r="M1052" s="1675"/>
      <c r="N1052" s="1675"/>
      <c r="O1052" s="1675"/>
      <c r="P1052" s="1675"/>
      <c r="Q1052" s="1675"/>
      <c r="R1052" s="1675"/>
      <c r="S1052" s="1675"/>
      <c r="T1052" s="1675"/>
      <c r="U1052" s="1675"/>
      <c r="V1052" s="1675"/>
      <c r="W1052" s="1675"/>
      <c r="X1052" s="1675"/>
      <c r="Y1052" s="1675"/>
      <c r="Z1052" s="1675"/>
      <c r="AA1052" s="1675"/>
      <c r="AB1052" s="1675"/>
      <c r="AC1052" s="1675"/>
      <c r="AD1052" s="1675"/>
      <c r="AE1052" s="1676"/>
      <c r="AF1052" s="73"/>
      <c r="AG1052" s="14"/>
      <c r="AH1052" s="14"/>
      <c r="AI1052" s="83"/>
      <c r="AJ1052" s="1671"/>
      <c r="AK1052" s="1672"/>
      <c r="AL1052" s="1672"/>
      <c r="AM1052" s="1672"/>
      <c r="AN1052" s="1672"/>
      <c r="AO1052" s="1672"/>
      <c r="AP1052" s="1672"/>
      <c r="AQ1052" s="1673"/>
      <c r="AR1052" s="68"/>
      <c r="AS1052" s="68"/>
      <c r="AT1052" s="68"/>
      <c r="AU1052" s="68"/>
      <c r="AV1052" s="68"/>
      <c r="AW1052" s="68"/>
      <c r="AX1052" s="68"/>
      <c r="AY1052" s="68"/>
    </row>
    <row r="1053" spans="1:57" ht="12.95" customHeight="1">
      <c r="A1053" s="14"/>
      <c r="B1053" s="73"/>
      <c r="C1053" s="74"/>
      <c r="D1053" s="1677"/>
      <c r="E1053" s="1678"/>
      <c r="F1053" s="1678"/>
      <c r="G1053" s="1678"/>
      <c r="H1053" s="1678"/>
      <c r="I1053" s="1678"/>
      <c r="J1053" s="1678"/>
      <c r="K1053" s="1678"/>
      <c r="L1053" s="1678"/>
      <c r="M1053" s="1678"/>
      <c r="N1053" s="1678"/>
      <c r="O1053" s="1678"/>
      <c r="P1053" s="1678"/>
      <c r="Q1053" s="1678"/>
      <c r="R1053" s="1678"/>
      <c r="S1053" s="1678"/>
      <c r="T1053" s="1678"/>
      <c r="U1053" s="1678"/>
      <c r="V1053" s="1678"/>
      <c r="W1053" s="1678"/>
      <c r="X1053" s="1678"/>
      <c r="Y1053" s="1678"/>
      <c r="Z1053" s="1678"/>
      <c r="AA1053" s="1678"/>
      <c r="AB1053" s="1678"/>
      <c r="AC1053" s="1678"/>
      <c r="AD1053" s="1678"/>
      <c r="AE1053" s="1679"/>
      <c r="AF1053" s="73"/>
      <c r="AG1053" s="14"/>
      <c r="AH1053" s="14"/>
      <c r="AI1053" s="83"/>
      <c r="AJ1053" s="1680"/>
      <c r="AK1053" s="1681"/>
      <c r="AL1053" s="1681"/>
      <c r="AM1053" s="1681"/>
      <c r="AN1053" s="1681"/>
      <c r="AO1053" s="1681"/>
      <c r="AP1053" s="1681"/>
      <c r="AQ1053" s="1682"/>
      <c r="AR1053" s="68"/>
      <c r="AS1053" s="68"/>
      <c r="AT1053" s="68"/>
      <c r="AU1053" s="68"/>
      <c r="AV1053" s="68"/>
      <c r="AW1053" s="68"/>
      <c r="AX1053" s="68"/>
      <c r="AY1053" s="68"/>
    </row>
    <row r="1054" spans="1:57" ht="12.95" customHeight="1">
      <c r="A1054" s="14"/>
      <c r="B1054" s="79"/>
      <c r="C1054" s="131" t="s">
        <v>1671</v>
      </c>
      <c r="D1054" s="1689" t="s">
        <v>1836</v>
      </c>
      <c r="E1054" s="1690"/>
      <c r="F1054" s="1690"/>
      <c r="G1054" s="1690"/>
      <c r="H1054" s="1690"/>
      <c r="I1054" s="1690"/>
      <c r="J1054" s="1690"/>
      <c r="K1054" s="1690"/>
      <c r="L1054" s="1690"/>
      <c r="M1054" s="1690"/>
      <c r="N1054" s="1690"/>
      <c r="O1054" s="1690"/>
      <c r="P1054" s="1690"/>
      <c r="Q1054" s="1690"/>
      <c r="R1054" s="1690"/>
      <c r="S1054" s="1690"/>
      <c r="T1054" s="1690"/>
      <c r="U1054" s="1690"/>
      <c r="V1054" s="1690"/>
      <c r="W1054" s="1690"/>
      <c r="X1054" s="1690"/>
      <c r="Y1054" s="1690"/>
      <c r="Z1054" s="1690"/>
      <c r="AA1054" s="1690"/>
      <c r="AB1054" s="1690"/>
      <c r="AC1054" s="1690"/>
      <c r="AD1054" s="1690"/>
      <c r="AE1054" s="1691"/>
      <c r="AF1054" s="79"/>
      <c r="AG1054" s="1702" t="str">
        <f>IF(X1057&gt;0,"Yes","No")</f>
        <v>Yes</v>
      </c>
      <c r="AH1054" s="1703"/>
      <c r="AI1054" s="87"/>
      <c r="AJ1054" s="1668">
        <f>IF((X1057=0),0,AY1014*AJ1001)</f>
        <v>14485824</v>
      </c>
      <c r="AK1054" s="1669"/>
      <c r="AL1054" s="1669"/>
      <c r="AM1054" s="1669"/>
      <c r="AN1054" s="1669"/>
      <c r="AO1054" s="1669"/>
      <c r="AP1054" s="1669"/>
      <c r="AQ1054" s="167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2.95" customHeight="1">
      <c r="A1055" s="14"/>
      <c r="B1055" s="73"/>
      <c r="C1055" s="442"/>
      <c r="D1055" s="1674" t="s">
        <v>1296</v>
      </c>
      <c r="E1055" s="1675"/>
      <c r="F1055" s="1675"/>
      <c r="G1055" s="1675"/>
      <c r="H1055" s="1675"/>
      <c r="I1055" s="1675"/>
      <c r="J1055" s="1675"/>
      <c r="K1055" s="1675"/>
      <c r="L1055" s="1675"/>
      <c r="M1055" s="1675"/>
      <c r="N1055" s="1675"/>
      <c r="O1055" s="1675"/>
      <c r="P1055" s="1675"/>
      <c r="Q1055" s="1675"/>
      <c r="R1055" s="1675"/>
      <c r="S1055" s="1675"/>
      <c r="T1055" s="1675"/>
      <c r="U1055" s="1675"/>
      <c r="V1055" s="1675"/>
      <c r="W1055" s="1675"/>
      <c r="X1055" s="1675"/>
      <c r="Y1055" s="1675"/>
      <c r="Z1055" s="1675"/>
      <c r="AA1055" s="1675"/>
      <c r="AB1055" s="1675"/>
      <c r="AC1055" s="1675"/>
      <c r="AD1055" s="1675"/>
      <c r="AE1055" s="1676"/>
      <c r="AF1055" s="73"/>
      <c r="AG1055" s="443"/>
      <c r="AH1055" s="443"/>
      <c r="AI1055" s="83"/>
      <c r="AJ1055" s="1671"/>
      <c r="AK1055" s="1672"/>
      <c r="AL1055" s="1672"/>
      <c r="AM1055" s="1672"/>
      <c r="AN1055" s="1672"/>
      <c r="AO1055" s="1672"/>
      <c r="AP1055" s="1672"/>
      <c r="AQ1055" s="1673"/>
      <c r="AR1055" s="68"/>
      <c r="AS1055" s="68"/>
      <c r="AT1055" s="68"/>
      <c r="AU1055" s="13"/>
      <c r="AV1055" s="68"/>
      <c r="AW1055" s="68"/>
      <c r="AX1055" s="68"/>
      <c r="AY1055" s="68"/>
      <c r="AZ1055" s="958">
        <f>'Sources and Uses Budget'!S97*BA1055</f>
        <v>13617283.432065707</v>
      </c>
      <c r="BA1055" s="1175">
        <f>IF(BA1049,20%,15%)</f>
        <v>0.15</v>
      </c>
      <c r="BB1055" s="3" t="s">
        <v>2406</v>
      </c>
      <c r="BC1055" s="3" t="s">
        <v>2407</v>
      </c>
      <c r="BD1055" s="3"/>
    </row>
    <row r="1056" spans="1:57" ht="12.95" customHeight="1">
      <c r="A1056" s="14"/>
      <c r="B1056" s="73"/>
      <c r="C1056" s="442"/>
      <c r="D1056" s="1674"/>
      <c r="E1056" s="1675"/>
      <c r="F1056" s="1675"/>
      <c r="G1056" s="1675"/>
      <c r="H1056" s="1675"/>
      <c r="I1056" s="1675"/>
      <c r="J1056" s="1675"/>
      <c r="K1056" s="1675"/>
      <c r="L1056" s="1675"/>
      <c r="M1056" s="1675"/>
      <c r="N1056" s="1675"/>
      <c r="O1056" s="1675"/>
      <c r="P1056" s="1675"/>
      <c r="Q1056" s="1675"/>
      <c r="R1056" s="1675"/>
      <c r="S1056" s="1675"/>
      <c r="T1056" s="1675"/>
      <c r="U1056" s="1675"/>
      <c r="V1056" s="1675"/>
      <c r="W1056" s="1675"/>
      <c r="X1056" s="1675"/>
      <c r="Y1056" s="1675"/>
      <c r="Z1056" s="1675"/>
      <c r="AA1056" s="1675"/>
      <c r="AB1056" s="1675"/>
      <c r="AC1056" s="1675"/>
      <c r="AD1056" s="1675"/>
      <c r="AE1056" s="1676"/>
      <c r="AF1056" s="73"/>
      <c r="AG1056" s="443"/>
      <c r="AH1056" s="443"/>
      <c r="AI1056" s="83"/>
      <c r="AJ1056" s="1671"/>
      <c r="AK1056" s="1672"/>
      <c r="AL1056" s="1672"/>
      <c r="AM1056" s="1672"/>
      <c r="AN1056" s="1672"/>
      <c r="AO1056" s="1672"/>
      <c r="AP1056" s="1672"/>
      <c r="AQ1056" s="1673"/>
      <c r="AR1056" s="68"/>
      <c r="AS1056" s="68"/>
      <c r="AT1056" s="68"/>
      <c r="AU1056" s="13"/>
      <c r="AV1056" s="68"/>
      <c r="AW1056" s="68"/>
      <c r="AX1056" s="68"/>
      <c r="AY1056" s="68"/>
      <c r="AZ1056" s="958">
        <f>IF(M365="N/A",0,'Sources and Uses Budget'!T97*BA1056)</f>
        <v>0</v>
      </c>
      <c r="BA1056" s="1175">
        <v>0.15</v>
      </c>
      <c r="BB1056" s="3" t="s">
        <v>2406</v>
      </c>
      <c r="BC1056" s="3" t="s">
        <v>2408</v>
      </c>
      <c r="BD1056" s="3"/>
    </row>
    <row r="1057" spans="1:56" ht="12.95" customHeight="1">
      <c r="A1057" s="14"/>
      <c r="B1057" s="77"/>
      <c r="C1057" s="78"/>
      <c r="D1057" s="132" t="s">
        <v>970</v>
      </c>
      <c r="E1057" s="133"/>
      <c r="F1057" s="133"/>
      <c r="G1057" s="133"/>
      <c r="H1057" s="133"/>
      <c r="I1057" s="1731">
        <f>AY1012</f>
        <v>237</v>
      </c>
      <c r="J1057" s="1732"/>
      <c r="K1057" s="7"/>
      <c r="L1057" s="133"/>
      <c r="M1057" s="133"/>
      <c r="N1057" s="133"/>
      <c r="O1057" s="133"/>
      <c r="P1057" s="133"/>
      <c r="Q1057" s="133"/>
      <c r="R1057" s="133"/>
      <c r="S1057" s="133"/>
      <c r="T1057" s="133"/>
      <c r="U1057" s="133"/>
      <c r="V1057" s="134" t="s">
        <v>971</v>
      </c>
      <c r="W1057" s="48"/>
      <c r="X1057" s="1729">
        <f>CI761</f>
        <v>24</v>
      </c>
      <c r="Y1057" s="1730"/>
      <c r="Z1057" s="48"/>
      <c r="AA1057" s="48"/>
      <c r="AB1057" s="48"/>
      <c r="AC1057" s="48"/>
      <c r="AD1057" s="48"/>
      <c r="AE1057" s="49"/>
      <c r="AF1057" s="920"/>
      <c r="AG1057" s="921"/>
      <c r="AH1057" s="921"/>
      <c r="AI1057" s="922"/>
      <c r="AJ1057" s="1680"/>
      <c r="AK1057" s="1681"/>
      <c r="AL1057" s="1681"/>
      <c r="AM1057" s="1681"/>
      <c r="AN1057" s="1681"/>
      <c r="AO1057" s="1681"/>
      <c r="AP1057" s="1681"/>
      <c r="AQ1057" s="1682"/>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2406</v>
      </c>
      <c r="BC1057" s="3" t="s">
        <v>2409</v>
      </c>
      <c r="BD1057" s="3"/>
    </row>
    <row r="1058" spans="1:56" ht="12.95" customHeight="1">
      <c r="A1058" s="14"/>
      <c r="B1058" s="79"/>
      <c r="C1058" s="131" t="s">
        <v>1672</v>
      </c>
      <c r="D1058" s="1650" t="s">
        <v>2122</v>
      </c>
      <c r="E1058" s="1651"/>
      <c r="F1058" s="1651"/>
      <c r="G1058" s="1651"/>
      <c r="H1058" s="1651"/>
      <c r="I1058" s="1651"/>
      <c r="J1058" s="1651"/>
      <c r="K1058" s="1651"/>
      <c r="L1058" s="1651"/>
      <c r="M1058" s="1651"/>
      <c r="N1058" s="1651"/>
      <c r="O1058" s="1651"/>
      <c r="P1058" s="1651"/>
      <c r="Q1058" s="1651"/>
      <c r="R1058" s="1651"/>
      <c r="S1058" s="1651"/>
      <c r="T1058" s="1651"/>
      <c r="U1058" s="1651"/>
      <c r="V1058" s="1651"/>
      <c r="W1058" s="1651"/>
      <c r="X1058" s="1651"/>
      <c r="Y1058" s="1651"/>
      <c r="Z1058" s="1651"/>
      <c r="AA1058" s="1651"/>
      <c r="AB1058" s="1651"/>
      <c r="AC1058" s="1651"/>
      <c r="AD1058" s="1651"/>
      <c r="AE1058" s="1652"/>
      <c r="AF1058" s="73"/>
      <c r="AG1058" s="1702" t="str">
        <f>IF(X1061&gt;0,"Yes","No")</f>
        <v>Yes</v>
      </c>
      <c r="AH1058" s="1703"/>
      <c r="AI1058" s="83"/>
      <c r="AJ1058" s="1668">
        <f>IF((X1061=0),0,(2*AY1015)*AJ1001)</f>
        <v>28971648</v>
      </c>
      <c r="AK1058" s="1669"/>
      <c r="AL1058" s="1669"/>
      <c r="AM1058" s="1669"/>
      <c r="AN1058" s="1669"/>
      <c r="AO1058" s="1669"/>
      <c r="AP1058" s="1669"/>
      <c r="AQ1058" s="1670"/>
      <c r="AR1058" s="68"/>
      <c r="AS1058" s="68"/>
      <c r="AT1058" s="68"/>
      <c r="AU1058" s="14"/>
      <c r="AV1058" s="68"/>
      <c r="AW1058" s="68"/>
      <c r="AX1058" s="68"/>
      <c r="AY1058" s="68"/>
      <c r="AZ1058" s="958">
        <f>AZ1054*BA1058</f>
        <v>0</v>
      </c>
      <c r="BA1058" s="1175">
        <v>0.15</v>
      </c>
      <c r="BB1058" s="3" t="s">
        <v>2406</v>
      </c>
      <c r="BC1058" s="3" t="s">
        <v>2410</v>
      </c>
      <c r="BD1058" s="3"/>
    </row>
    <row r="1059" spans="1:56" ht="12.95" customHeight="1">
      <c r="A1059" s="14"/>
      <c r="B1059" s="73"/>
      <c r="C1059" s="442"/>
      <c r="D1059" s="1674" t="s">
        <v>1295</v>
      </c>
      <c r="E1059" s="1675"/>
      <c r="F1059" s="1675"/>
      <c r="G1059" s="1675"/>
      <c r="H1059" s="1675"/>
      <c r="I1059" s="1675"/>
      <c r="J1059" s="1675"/>
      <c r="K1059" s="1675"/>
      <c r="L1059" s="1675"/>
      <c r="M1059" s="1675"/>
      <c r="N1059" s="1675"/>
      <c r="O1059" s="1675"/>
      <c r="P1059" s="1675"/>
      <c r="Q1059" s="1675"/>
      <c r="R1059" s="1675"/>
      <c r="S1059" s="1675"/>
      <c r="T1059" s="1675"/>
      <c r="U1059" s="1675"/>
      <c r="V1059" s="1675"/>
      <c r="W1059" s="1675"/>
      <c r="X1059" s="1675"/>
      <c r="Y1059" s="1675"/>
      <c r="Z1059" s="1675"/>
      <c r="AA1059" s="1675"/>
      <c r="AB1059" s="1675"/>
      <c r="AC1059" s="1675"/>
      <c r="AD1059" s="1675"/>
      <c r="AE1059" s="1676"/>
      <c r="AF1059" s="73"/>
      <c r="AG1059" s="443"/>
      <c r="AH1059" s="443"/>
      <c r="AI1059" s="83"/>
      <c r="AJ1059" s="1671"/>
      <c r="AK1059" s="1672"/>
      <c r="AL1059" s="1672"/>
      <c r="AM1059" s="1672"/>
      <c r="AN1059" s="1672"/>
      <c r="AO1059" s="1672"/>
      <c r="AP1059" s="1672"/>
      <c r="AQ1059" s="1673"/>
      <c r="AR1059" s="68"/>
      <c r="AS1059" s="68"/>
      <c r="AT1059" s="68"/>
      <c r="AU1059" s="68"/>
      <c r="AV1059" s="68"/>
      <c r="AW1059" s="68"/>
      <c r="AX1059" s="68"/>
      <c r="AY1059" s="68"/>
      <c r="AZ1059" s="958"/>
      <c r="BA1059" s="3"/>
      <c r="BB1059" s="3"/>
      <c r="BC1059" s="3"/>
      <c r="BD1059" s="3"/>
    </row>
    <row r="1060" spans="1:56" ht="12.95" customHeight="1">
      <c r="A1060" s="14"/>
      <c r="B1060" s="73"/>
      <c r="C1060" s="83"/>
      <c r="D1060" s="1674"/>
      <c r="E1060" s="1675"/>
      <c r="F1060" s="1675"/>
      <c r="G1060" s="1675"/>
      <c r="H1060" s="1675"/>
      <c r="I1060" s="1675"/>
      <c r="J1060" s="1675"/>
      <c r="K1060" s="1675"/>
      <c r="L1060" s="1675"/>
      <c r="M1060" s="1675"/>
      <c r="N1060" s="1675"/>
      <c r="O1060" s="1675"/>
      <c r="P1060" s="1675"/>
      <c r="Q1060" s="1675"/>
      <c r="R1060" s="1675"/>
      <c r="S1060" s="1675"/>
      <c r="T1060" s="1675"/>
      <c r="U1060" s="1675"/>
      <c r="V1060" s="1675"/>
      <c r="W1060" s="1675"/>
      <c r="X1060" s="1675"/>
      <c r="Y1060" s="1675"/>
      <c r="Z1060" s="1675"/>
      <c r="AA1060" s="1675"/>
      <c r="AB1060" s="1675"/>
      <c r="AC1060" s="1675"/>
      <c r="AD1060" s="1675"/>
      <c r="AE1060" s="1676"/>
      <c r="AF1060" s="917"/>
      <c r="AG1060" s="918"/>
      <c r="AH1060" s="918"/>
      <c r="AI1060" s="919"/>
      <c r="AJ1060" s="1671"/>
      <c r="AK1060" s="1672"/>
      <c r="AL1060" s="1672"/>
      <c r="AM1060" s="1672"/>
      <c r="AN1060" s="1672"/>
      <c r="AO1060" s="1672"/>
      <c r="AP1060" s="1672"/>
      <c r="AQ1060" s="1673"/>
      <c r="AR1060" s="68"/>
      <c r="AS1060" s="68"/>
      <c r="AT1060" s="68"/>
      <c r="AU1060" s="68"/>
      <c r="AV1060" s="68"/>
      <c r="AW1060" s="68"/>
      <c r="AX1060" s="68"/>
      <c r="AY1060" s="68"/>
      <c r="AZ1060" s="958">
        <f>ROUNDDOWN(MIN(SUM(AZ1055,AZ1056,AZ1057,AZ1058),BD1060),0)</f>
        <v>2500000</v>
      </c>
      <c r="BA1060" s="3" t="s">
        <v>2411</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731">
        <f>AY1012</f>
        <v>237</v>
      </c>
      <c r="J1061" s="1732"/>
      <c r="K1061" s="14"/>
      <c r="L1061" s="133"/>
      <c r="M1061" s="133"/>
      <c r="N1061" s="133"/>
      <c r="O1061" s="133"/>
      <c r="P1061" s="133"/>
      <c r="Q1061" s="133"/>
      <c r="R1061" s="133"/>
      <c r="S1061" s="133"/>
      <c r="T1061" s="133"/>
      <c r="U1061" s="133"/>
      <c r="V1061" s="134" t="s">
        <v>972</v>
      </c>
      <c r="X1061" s="1729">
        <f>CM761</f>
        <v>24</v>
      </c>
      <c r="Y1061" s="1730"/>
      <c r="AF1061" s="920"/>
      <c r="AG1061" s="921"/>
      <c r="AH1061" s="921"/>
      <c r="AI1061" s="922"/>
      <c r="AJ1061" s="1680"/>
      <c r="AK1061" s="1681"/>
      <c r="AL1061" s="1681"/>
      <c r="AM1061" s="1681"/>
      <c r="AN1061" s="1681"/>
      <c r="AO1061" s="1681"/>
      <c r="AP1061" s="1681"/>
      <c r="AQ1061" s="1682"/>
      <c r="AR1061" s="68"/>
      <c r="AS1061" s="68"/>
      <c r="AT1061" s="68"/>
      <c r="AU1061" s="68"/>
      <c r="AV1061" s="68"/>
      <c r="AW1061" s="68"/>
      <c r="AX1061" s="68"/>
      <c r="AY1061" s="68"/>
      <c r="AZ1061" s="958">
        <f>ROUNDDOWN(MAX(0,BA1061*(SUM(AG1102,AL1102,AZ1054)-BD1061))+BF1061,0)</f>
        <v>0</v>
      </c>
      <c r="BA1061" s="1175">
        <f>IF(L1051,7%,5%)</f>
        <v>0.05</v>
      </c>
      <c r="BB1061" s="3" t="s">
        <v>2412</v>
      </c>
      <c r="BC1061" s="3"/>
      <c r="BD1061" s="3">
        <v>6666667</v>
      </c>
    </row>
    <row r="1062" spans="1:56" ht="12.95" customHeight="1">
      <c r="A1062" s="14"/>
      <c r="B1062" s="102"/>
      <c r="C1062" s="103"/>
      <c r="D1062" s="1727" t="s">
        <v>511</v>
      </c>
      <c r="E1062" s="1727"/>
      <c r="F1062" s="1727"/>
      <c r="G1062" s="1727"/>
      <c r="H1062" s="1727"/>
      <c r="I1062" s="1727"/>
      <c r="J1062" s="1727"/>
      <c r="K1062" s="1727"/>
      <c r="L1062" s="1727"/>
      <c r="M1062" s="1727"/>
      <c r="N1062" s="1727"/>
      <c r="O1062" s="1727"/>
      <c r="P1062" s="1727"/>
      <c r="Q1062" s="1727"/>
      <c r="R1062" s="1727"/>
      <c r="S1062" s="1727"/>
      <c r="T1062" s="1727"/>
      <c r="U1062" s="1727"/>
      <c r="V1062" s="1727"/>
      <c r="W1062" s="1727"/>
      <c r="X1062" s="1727"/>
      <c r="Y1062" s="1727"/>
      <c r="Z1062" s="1727"/>
      <c r="AA1062" s="1727"/>
      <c r="AB1062" s="1727"/>
      <c r="AC1062" s="1727"/>
      <c r="AD1062" s="1727"/>
      <c r="AE1062" s="1727"/>
      <c r="AF1062" s="1727"/>
      <c r="AG1062" s="1727"/>
      <c r="AH1062" s="1727"/>
      <c r="AI1062" s="1728"/>
      <c r="AJ1062" s="1743">
        <f>SUM(AJ1001:AQ1061)</f>
        <v>188315712</v>
      </c>
      <c r="AK1062" s="1744"/>
      <c r="AL1062" s="1744"/>
      <c r="AM1062" s="1744"/>
      <c r="AN1062" s="1744"/>
      <c r="AO1062" s="1744"/>
      <c r="AP1062" s="1744"/>
      <c r="AQ1062" s="1745"/>
      <c r="AR1062" s="68"/>
      <c r="AS1062" s="68"/>
      <c r="AT1062" s="68"/>
      <c r="AU1062" s="68"/>
      <c r="AV1062" s="68"/>
      <c r="AW1062" s="68"/>
      <c r="AX1062" s="68"/>
      <c r="AY1062" s="68"/>
      <c r="AZ1062" s="1174">
        <v>6000000</v>
      </c>
      <c r="BA1062" s="3" t="s">
        <v>2413</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2398</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2414</v>
      </c>
      <c r="BC1064" s="3"/>
      <c r="BD1064" s="3"/>
    </row>
    <row r="1065" spans="1:56" ht="12.95" customHeight="1">
      <c r="A1065" s="14"/>
      <c r="B1065" s="68"/>
      <c r="C1065" s="68"/>
      <c r="D1065" s="68"/>
      <c r="E1065" s="68"/>
      <c r="F1065" s="68"/>
      <c r="G1065" s="1169" t="s">
        <v>2399</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80">
        <f>'Sources and Uses Budget'!S107+'Sources and Uses Budget'!T107</f>
        <v>104399172.54710472</v>
      </c>
      <c r="AB1065" s="1280"/>
      <c r="AC1065" s="1280"/>
      <c r="AD1065" s="1280"/>
      <c r="AE1065" s="1280"/>
      <c r="AF1065" s="128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13617283.432065707</v>
      </c>
      <c r="BB1065" s="3" t="s">
        <v>2415</v>
      </c>
      <c r="BC1065" s="3"/>
      <c r="BD1065" s="3"/>
    </row>
    <row r="1066" spans="1:56" ht="12.95" customHeight="1">
      <c r="A1066" s="14"/>
      <c r="B1066" s="68"/>
      <c r="C1066" s="68"/>
      <c r="D1066" s="68"/>
      <c r="E1066" s="68"/>
      <c r="F1066" s="68"/>
      <c r="G1066" s="1169"/>
      <c r="H1066" s="1169" t="s">
        <v>2400</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81">
        <f>IFERROR((AA1065-BA1068)/(AJ1062-AJ1054-AJ1058),"")</f>
        <v>0.64395294010961834</v>
      </c>
      <c r="AB1066" s="1282"/>
      <c r="AC1066" s="1282"/>
      <c r="AD1066" s="1282"/>
      <c r="AE1066" s="1282"/>
      <c r="AF1066" s="128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28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84"/>
      <c r="I1067" s="1284"/>
      <c r="J1067" s="1284"/>
      <c r="K1067" s="1284"/>
      <c r="L1067" s="1284"/>
      <c r="M1067" s="1284"/>
      <c r="N1067" s="1284"/>
      <c r="O1067" s="1284"/>
      <c r="P1067" s="1284"/>
      <c r="Q1067" s="1284"/>
      <c r="R1067" s="1284"/>
      <c r="S1067" s="1284"/>
      <c r="T1067" s="1284"/>
      <c r="U1067" s="1284"/>
      <c r="V1067" s="1284"/>
      <c r="W1067" s="1284"/>
      <c r="X1067" s="1284"/>
      <c r="Y1067" s="1284"/>
      <c r="Z1067" s="1284"/>
      <c r="AA1067" s="1284"/>
      <c r="AB1067" s="1284"/>
      <c r="AC1067" s="1284"/>
      <c r="AD1067" s="1284"/>
      <c r="AE1067" s="1284"/>
      <c r="AF1067" s="1284"/>
      <c r="AG1067" s="1284"/>
      <c r="AH1067" s="1284"/>
      <c r="AI1067" s="1284"/>
      <c r="AJ1067" s="1284"/>
      <c r="AK1067" s="1284"/>
      <c r="AL1067" s="1284"/>
      <c r="AM1067" s="1284"/>
      <c r="AN1067" s="1284"/>
      <c r="AO1067" s="68"/>
      <c r="AP1067" s="68"/>
      <c r="AQ1067" s="68"/>
      <c r="AR1067" s="68"/>
      <c r="AS1067" s="68"/>
      <c r="AT1067" s="68"/>
      <c r="AU1067" s="68"/>
      <c r="AV1067" s="14"/>
      <c r="AW1067" s="14"/>
      <c r="AX1067" s="14"/>
      <c r="AY1067" s="14"/>
      <c r="BA1067" s="1178">
        <f>'Sources and Uses Budget'!$S$104+'Sources and Uses Budget'!$T$104</f>
        <v>13617283</v>
      </c>
      <c r="BB1067" s="3" t="s">
        <v>2421</v>
      </c>
    </row>
    <row r="1068" spans="1:56" ht="12.95" customHeight="1">
      <c r="A1068" s="14"/>
      <c r="B1068" s="14"/>
      <c r="C1068" s="208"/>
      <c r="D1068" s="854"/>
      <c r="E1068" s="854"/>
      <c r="F1068" s="854"/>
      <c r="G1068" s="1284"/>
      <c r="H1068" s="1284"/>
      <c r="I1068" s="1284"/>
      <c r="J1068" s="1284"/>
      <c r="K1068" s="1284"/>
      <c r="L1068" s="1284"/>
      <c r="M1068" s="1284"/>
      <c r="N1068" s="1284"/>
      <c r="O1068" s="1284"/>
      <c r="P1068" s="1284"/>
      <c r="Q1068" s="1284"/>
      <c r="R1068" s="1284"/>
      <c r="S1068" s="1284"/>
      <c r="T1068" s="1284"/>
      <c r="U1068" s="1284"/>
      <c r="V1068" s="1284"/>
      <c r="W1068" s="1284"/>
      <c r="X1068" s="1284"/>
      <c r="Y1068" s="1284"/>
      <c r="Z1068" s="1284"/>
      <c r="AA1068" s="1284"/>
      <c r="AB1068" s="1284"/>
      <c r="AC1068" s="1284"/>
      <c r="AD1068" s="1284"/>
      <c r="AE1068" s="1284"/>
      <c r="AF1068" s="1284"/>
      <c r="AG1068" s="1284"/>
      <c r="AH1068" s="1284"/>
      <c r="AI1068" s="1284"/>
      <c r="AJ1068" s="1284"/>
      <c r="AK1068" s="1284"/>
      <c r="AL1068" s="1284"/>
      <c r="AM1068" s="1284"/>
      <c r="AN1068" s="1284"/>
      <c r="AO1068" s="68"/>
      <c r="AP1068" s="68"/>
      <c r="AQ1068" s="68"/>
      <c r="AR1068" s="68"/>
      <c r="AS1068" s="68"/>
      <c r="AT1068" s="68"/>
      <c r="AU1068" s="68"/>
      <c r="AV1068" s="14"/>
      <c r="AW1068" s="14"/>
      <c r="AX1068" s="14"/>
      <c r="AY1068" s="14"/>
      <c r="BA1068" s="1179">
        <f>MAX($BA$1067-$BA$1064,0)</f>
        <v>11117283</v>
      </c>
      <c r="BB1068" s="3" t="s">
        <v>2422</v>
      </c>
    </row>
    <row r="1069" spans="1:56" ht="12.95" customHeight="1">
      <c r="A1069" s="88"/>
      <c r="B1069" s="1165"/>
      <c r="C1069" s="1165"/>
      <c r="D1069" s="1165"/>
      <c r="E1069" s="1165"/>
      <c r="F1069" s="1165"/>
      <c r="G1069" s="1284"/>
      <c r="H1069" s="1284"/>
      <c r="I1069" s="1284"/>
      <c r="J1069" s="1284"/>
      <c r="K1069" s="1284"/>
      <c r="L1069" s="1284"/>
      <c r="M1069" s="1284"/>
      <c r="N1069" s="1284"/>
      <c r="O1069" s="1284"/>
      <c r="P1069" s="1284"/>
      <c r="Q1069" s="1284"/>
      <c r="R1069" s="1284"/>
      <c r="S1069" s="1284"/>
      <c r="T1069" s="1284"/>
      <c r="U1069" s="1284"/>
      <c r="V1069" s="1284"/>
      <c r="W1069" s="1284"/>
      <c r="X1069" s="1284"/>
      <c r="Y1069" s="1284"/>
      <c r="Z1069" s="1284"/>
      <c r="AA1069" s="1284"/>
      <c r="AB1069" s="1284"/>
      <c r="AC1069" s="1284"/>
      <c r="AD1069" s="1284"/>
      <c r="AE1069" s="1284"/>
      <c r="AF1069" s="1284"/>
      <c r="AG1069" s="1284"/>
      <c r="AH1069" s="1284"/>
      <c r="AI1069" s="1284"/>
      <c r="AJ1069" s="1284"/>
      <c r="AK1069" s="1284"/>
      <c r="AL1069" s="1284"/>
      <c r="AM1069" s="1284"/>
      <c r="AN1069" s="1284"/>
      <c r="AO1069" s="1165"/>
      <c r="AP1069" s="1165"/>
      <c r="AQ1069" s="68"/>
      <c r="AR1069" s="68"/>
      <c r="AS1069" s="68"/>
      <c r="AT1069" s="68"/>
      <c r="AU1069" s="68"/>
      <c r="AV1069" s="68"/>
      <c r="AW1069" s="68"/>
      <c r="AX1069" s="68"/>
      <c r="AY1069" s="68"/>
    </row>
    <row r="1070" spans="1:56" ht="12.95" customHeight="1">
      <c r="A1070" s="1756" t="s">
        <v>792</v>
      </c>
      <c r="B1070" s="1756"/>
      <c r="C1070" s="1756"/>
      <c r="D1070" s="1756"/>
      <c r="E1070" s="1756"/>
      <c r="F1070" s="1756"/>
      <c r="G1070" s="1756"/>
      <c r="H1070" s="1756"/>
      <c r="I1070" s="1756"/>
      <c r="J1070" s="1756"/>
      <c r="K1070" s="1756"/>
      <c r="L1070" s="1756"/>
      <c r="M1070" s="1756"/>
      <c r="N1070" s="1756"/>
      <c r="O1070" s="1756"/>
      <c r="P1070" s="1756"/>
      <c r="Q1070" s="1756"/>
      <c r="R1070" s="1756"/>
      <c r="S1070" s="1756"/>
      <c r="T1070" s="1756"/>
      <c r="U1070" s="1756"/>
      <c r="V1070" s="1756"/>
      <c r="W1070" s="1756"/>
      <c r="X1070" s="1756"/>
      <c r="Y1070" s="1756"/>
      <c r="Z1070" s="1756"/>
      <c r="AA1070" s="1756"/>
      <c r="AB1070" s="1756"/>
      <c r="AC1070" s="1756"/>
      <c r="AD1070" s="1756"/>
      <c r="AE1070" s="1756"/>
      <c r="AF1070" s="1756"/>
      <c r="AG1070" s="1756"/>
      <c r="AH1070" s="1756"/>
      <c r="AI1070" s="1756"/>
      <c r="AJ1070" s="1756"/>
      <c r="AK1070" s="1756"/>
      <c r="AL1070" s="1756"/>
      <c r="AM1070" s="1756"/>
      <c r="AN1070" s="1756"/>
      <c r="AO1070" s="1756"/>
      <c r="AP1070" s="1756"/>
      <c r="AQ1070" s="1756"/>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06" t="s">
        <v>589</v>
      </c>
      <c r="B1074" s="1306"/>
      <c r="C1074" s="1796">
        <v>1</v>
      </c>
      <c r="D1074" s="1796"/>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796"/>
      <c r="D1075" s="1796"/>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06" t="s">
        <v>589</v>
      </c>
      <c r="B1076" s="1306"/>
      <c r="C1076" s="1796">
        <v>2</v>
      </c>
      <c r="D1076" s="1796"/>
      <c r="E1076" s="1798" t="s">
        <v>2189</v>
      </c>
      <c r="F1076" s="1798"/>
      <c r="G1076" s="1798"/>
      <c r="H1076" s="1798"/>
      <c r="I1076" s="1798"/>
      <c r="J1076" s="1798"/>
      <c r="K1076" s="1798"/>
      <c r="L1076" s="1798"/>
      <c r="M1076" s="1798"/>
      <c r="N1076" s="1798"/>
      <c r="O1076" s="1798"/>
      <c r="P1076" s="1798"/>
      <c r="Q1076" s="1798"/>
      <c r="R1076" s="1798"/>
      <c r="S1076" s="1798"/>
      <c r="T1076" s="1798"/>
      <c r="U1076" s="1798"/>
      <c r="V1076" s="1798"/>
      <c r="W1076" s="1798"/>
      <c r="X1076" s="1798"/>
      <c r="Y1076" s="1798"/>
      <c r="Z1076" s="1798"/>
      <c r="AA1076" s="1798"/>
      <c r="AB1076" s="1798"/>
      <c r="AC1076" s="1798"/>
      <c r="AD1076" s="1798"/>
      <c r="AE1076" s="1798"/>
      <c r="AF1076" s="1798"/>
      <c r="AG1076" s="1798"/>
      <c r="AH1076" s="1798"/>
      <c r="AI1076" s="1798"/>
      <c r="AJ1076" s="1798"/>
      <c r="AK1076" s="1798"/>
      <c r="AL1076" s="1798"/>
      <c r="AM1076" s="1798"/>
      <c r="AN1076" s="1798"/>
      <c r="AO1076" s="1798"/>
      <c r="AP1076" s="1798"/>
      <c r="AQ1076" s="1798"/>
      <c r="AR1076" s="1798"/>
      <c r="AS1076" s="14"/>
      <c r="AT1076" s="14"/>
      <c r="AV1076" s="68"/>
      <c r="AW1076" s="68"/>
      <c r="AX1076" s="68"/>
      <c r="AY1076" s="68"/>
    </row>
    <row r="1077" spans="1:51" ht="12.95" customHeight="1">
      <c r="A1077" s="198"/>
      <c r="B1077" s="67"/>
      <c r="C1077" s="1796"/>
      <c r="D1077" s="1796"/>
      <c r="E1077" s="1798"/>
      <c r="F1077" s="1798"/>
      <c r="G1077" s="1798"/>
      <c r="H1077" s="1798"/>
      <c r="I1077" s="1798"/>
      <c r="J1077" s="1798"/>
      <c r="K1077" s="1798"/>
      <c r="L1077" s="1798"/>
      <c r="M1077" s="1798"/>
      <c r="N1077" s="1798"/>
      <c r="O1077" s="1798"/>
      <c r="P1077" s="1798"/>
      <c r="Q1077" s="1798"/>
      <c r="R1077" s="1798"/>
      <c r="S1077" s="1798"/>
      <c r="T1077" s="1798"/>
      <c r="U1077" s="1798"/>
      <c r="V1077" s="1798"/>
      <c r="W1077" s="1798"/>
      <c r="X1077" s="1798"/>
      <c r="Y1077" s="1798"/>
      <c r="Z1077" s="1798"/>
      <c r="AA1077" s="1798"/>
      <c r="AB1077" s="1798"/>
      <c r="AC1077" s="1798"/>
      <c r="AD1077" s="1798"/>
      <c r="AE1077" s="1798"/>
      <c r="AF1077" s="1798"/>
      <c r="AG1077" s="1798"/>
      <c r="AH1077" s="1798"/>
      <c r="AI1077" s="1798"/>
      <c r="AJ1077" s="1798"/>
      <c r="AK1077" s="1798"/>
      <c r="AL1077" s="1798"/>
      <c r="AM1077" s="1798"/>
      <c r="AN1077" s="1798"/>
      <c r="AO1077" s="1798"/>
      <c r="AP1077" s="1798"/>
      <c r="AQ1077" s="1798"/>
      <c r="AR1077" s="1798"/>
      <c r="AS1077" s="14"/>
      <c r="AT1077" s="14"/>
      <c r="AV1077" s="68"/>
      <c r="AW1077" s="68"/>
      <c r="AX1077" s="68"/>
      <c r="AY1077" s="68"/>
    </row>
    <row r="1078" spans="1:51" ht="12.95" customHeight="1">
      <c r="A1078" s="198"/>
      <c r="B1078" s="67"/>
      <c r="C1078" s="1796"/>
      <c r="D1078" s="1796"/>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06" t="s">
        <v>589</v>
      </c>
      <c r="B1079" s="1306"/>
      <c r="C1079" s="1391">
        <v>3</v>
      </c>
      <c r="D1079" s="1391"/>
      <c r="E1079" s="1759" t="s">
        <v>1078</v>
      </c>
      <c r="F1079" s="1759"/>
      <c r="G1079" s="1759"/>
      <c r="H1079" s="1759"/>
      <c r="I1079" s="1759"/>
      <c r="J1079" s="1759"/>
      <c r="K1079" s="1759"/>
      <c r="L1079" s="1759"/>
      <c r="M1079" s="1759"/>
      <c r="N1079" s="1759"/>
      <c r="O1079" s="1759"/>
      <c r="P1079" s="1759"/>
      <c r="Q1079" s="1759"/>
      <c r="R1079" s="1759"/>
      <c r="S1079" s="1759"/>
      <c r="T1079" s="1759"/>
      <c r="U1079" s="1759"/>
      <c r="V1079" s="1759"/>
      <c r="W1079" s="1759"/>
      <c r="X1079" s="1759"/>
      <c r="Y1079" s="1759"/>
      <c r="Z1079" s="1759"/>
      <c r="AA1079" s="1759"/>
      <c r="AB1079" s="1759"/>
      <c r="AC1079" s="1759"/>
      <c r="AD1079" s="1759"/>
      <c r="AE1079" s="1759"/>
      <c r="AF1079" s="1759"/>
      <c r="AG1079" s="1759"/>
      <c r="AH1079" s="1759"/>
      <c r="AI1079" s="1759"/>
      <c r="AJ1079" s="1759"/>
      <c r="AK1079" s="1759"/>
      <c r="AL1079" s="1759"/>
      <c r="AM1079" s="1759"/>
      <c r="AN1079" s="1759"/>
      <c r="AO1079" s="1759"/>
      <c r="AP1079" s="1759"/>
      <c r="AQ1079" s="1759"/>
      <c r="AR1079" s="1759"/>
      <c r="AS1079" s="14"/>
      <c r="AT1079" s="68"/>
      <c r="AV1079" s="68"/>
      <c r="AW1079" s="68"/>
      <c r="AX1079" s="68"/>
      <c r="AY1079" s="68"/>
    </row>
    <row r="1080" spans="1:51" ht="12.95" customHeight="1">
      <c r="A1080" s="1"/>
      <c r="B1080" s="1"/>
      <c r="C1080" s="1391"/>
      <c r="D1080" s="1391"/>
      <c r="E1080" s="1759"/>
      <c r="F1080" s="1759"/>
      <c r="G1080" s="1759"/>
      <c r="H1080" s="1759"/>
      <c r="I1080" s="1759"/>
      <c r="J1080" s="1759"/>
      <c r="K1080" s="1759"/>
      <c r="L1080" s="1759"/>
      <c r="M1080" s="1759"/>
      <c r="N1080" s="1759"/>
      <c r="O1080" s="1759"/>
      <c r="P1080" s="1759"/>
      <c r="Q1080" s="1759"/>
      <c r="R1080" s="1759"/>
      <c r="S1080" s="1759"/>
      <c r="T1080" s="1759"/>
      <c r="U1080" s="1759"/>
      <c r="V1080" s="1759"/>
      <c r="W1080" s="1759"/>
      <c r="X1080" s="1759"/>
      <c r="Y1080" s="1759"/>
      <c r="Z1080" s="1759"/>
      <c r="AA1080" s="1759"/>
      <c r="AB1080" s="1759"/>
      <c r="AC1080" s="1759"/>
      <c r="AD1080" s="1759"/>
      <c r="AE1080" s="1759"/>
      <c r="AF1080" s="1759"/>
      <c r="AG1080" s="1759"/>
      <c r="AH1080" s="1759"/>
      <c r="AI1080" s="1759"/>
      <c r="AJ1080" s="1759"/>
      <c r="AK1080" s="1759"/>
      <c r="AL1080" s="1759"/>
      <c r="AM1080" s="1759"/>
      <c r="AN1080" s="1759"/>
      <c r="AO1080" s="1759"/>
      <c r="AP1080" s="1759"/>
      <c r="AQ1080" s="1759"/>
      <c r="AR1080" s="1759"/>
      <c r="AS1080" s="14"/>
      <c r="AT1080" s="68"/>
      <c r="AV1080" s="68"/>
      <c r="AW1080" s="68"/>
      <c r="AX1080" s="68"/>
      <c r="AY1080" s="68"/>
    </row>
    <row r="1081" spans="1:51" ht="12.95" customHeight="1">
      <c r="A1081" s="1"/>
      <c r="B1081" s="1"/>
      <c r="C1081" s="1391"/>
      <c r="D1081" s="1391"/>
      <c r="E1081" s="1759"/>
      <c r="F1081" s="1759"/>
      <c r="G1081" s="1759"/>
      <c r="H1081" s="1759"/>
      <c r="I1081" s="1759"/>
      <c r="J1081" s="1759"/>
      <c r="K1081" s="1759"/>
      <c r="L1081" s="1759"/>
      <c r="M1081" s="1759"/>
      <c r="N1081" s="1759"/>
      <c r="O1081" s="1759"/>
      <c r="P1081" s="1759"/>
      <c r="Q1081" s="1759"/>
      <c r="R1081" s="1759"/>
      <c r="S1081" s="1759"/>
      <c r="T1081" s="1759"/>
      <c r="U1081" s="1759"/>
      <c r="V1081" s="1759"/>
      <c r="W1081" s="1759"/>
      <c r="X1081" s="1759"/>
      <c r="Y1081" s="1759"/>
      <c r="Z1081" s="1759"/>
      <c r="AA1081" s="1759"/>
      <c r="AB1081" s="1759"/>
      <c r="AC1081" s="1759"/>
      <c r="AD1081" s="1759"/>
      <c r="AE1081" s="1759"/>
      <c r="AF1081" s="1759"/>
      <c r="AG1081" s="1759"/>
      <c r="AH1081" s="1759"/>
      <c r="AI1081" s="1759"/>
      <c r="AJ1081" s="1759"/>
      <c r="AK1081" s="1759"/>
      <c r="AL1081" s="1759"/>
      <c r="AM1081" s="1759"/>
      <c r="AN1081" s="1759"/>
      <c r="AO1081" s="1759"/>
      <c r="AP1081" s="1759"/>
      <c r="AQ1081" s="1759"/>
      <c r="AR1081" s="1759"/>
      <c r="AS1081" s="14"/>
      <c r="AT1081" s="68"/>
      <c r="AV1081" s="68"/>
      <c r="AW1081" s="68"/>
      <c r="AX1081" s="68"/>
      <c r="AY1081" s="68"/>
    </row>
    <row r="1082" spans="1:51" ht="12.95" customHeight="1">
      <c r="A1082" s="1"/>
      <c r="B1082" s="1"/>
      <c r="C1082" s="1391"/>
      <c r="D1082" s="1391"/>
      <c r="E1082" s="1759"/>
      <c r="F1082" s="1759"/>
      <c r="G1082" s="1759"/>
      <c r="H1082" s="1759"/>
      <c r="I1082" s="1759"/>
      <c r="J1082" s="1759"/>
      <c r="K1082" s="1759"/>
      <c r="L1082" s="1759"/>
      <c r="M1082" s="1759"/>
      <c r="N1082" s="1759"/>
      <c r="O1082" s="1759"/>
      <c r="P1082" s="1759"/>
      <c r="Q1082" s="1759"/>
      <c r="R1082" s="1759"/>
      <c r="S1082" s="1759"/>
      <c r="T1082" s="1759"/>
      <c r="U1082" s="1759"/>
      <c r="V1082" s="1759"/>
      <c r="W1082" s="1759"/>
      <c r="X1082" s="1759"/>
      <c r="Y1082" s="1759"/>
      <c r="Z1082" s="1759"/>
      <c r="AA1082" s="1759"/>
      <c r="AB1082" s="1759"/>
      <c r="AC1082" s="1759"/>
      <c r="AD1082" s="1759"/>
      <c r="AE1082" s="1759"/>
      <c r="AF1082" s="1759"/>
      <c r="AG1082" s="1759"/>
      <c r="AH1082" s="1759"/>
      <c r="AI1082" s="1759"/>
      <c r="AJ1082" s="1759"/>
      <c r="AK1082" s="1759"/>
      <c r="AL1082" s="1759"/>
      <c r="AM1082" s="1759"/>
      <c r="AN1082" s="1759"/>
      <c r="AO1082" s="1759"/>
      <c r="AP1082" s="1759"/>
      <c r="AQ1082" s="1759"/>
      <c r="AR1082" s="1759"/>
      <c r="AS1082" s="14"/>
      <c r="AT1082" s="68"/>
      <c r="AV1082" s="68"/>
      <c r="AW1082" s="68"/>
      <c r="AX1082" s="68"/>
      <c r="AY1082" s="68"/>
    </row>
    <row r="1083" spans="1:51" ht="12.95" customHeight="1">
      <c r="A1083" s="2"/>
      <c r="B1083" s="25"/>
      <c r="C1083" s="1391"/>
      <c r="D1083" s="139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06" t="s">
        <v>589</v>
      </c>
      <c r="B1084" s="1306"/>
      <c r="C1084" s="1391">
        <v>4</v>
      </c>
      <c r="D1084" s="1391"/>
      <c r="E1084" s="1759" t="s">
        <v>1077</v>
      </c>
      <c r="F1084" s="1759"/>
      <c r="G1084" s="1759"/>
      <c r="H1084" s="1759"/>
      <c r="I1084" s="1759"/>
      <c r="J1084" s="1759"/>
      <c r="K1084" s="1759"/>
      <c r="L1084" s="1759"/>
      <c r="M1084" s="1759"/>
      <c r="N1084" s="1759"/>
      <c r="O1084" s="1759"/>
      <c r="P1084" s="1759"/>
      <c r="Q1084" s="1759"/>
      <c r="R1084" s="1759"/>
      <c r="S1084" s="1759"/>
      <c r="T1084" s="1759"/>
      <c r="U1084" s="1759"/>
      <c r="V1084" s="1759"/>
      <c r="W1084" s="1759"/>
      <c r="X1084" s="1759"/>
      <c r="Y1084" s="1759"/>
      <c r="Z1084" s="1759"/>
      <c r="AA1084" s="1759"/>
      <c r="AB1084" s="1759"/>
      <c r="AC1084" s="1759"/>
      <c r="AD1084" s="1759"/>
      <c r="AE1084" s="1759"/>
      <c r="AF1084" s="1759"/>
      <c r="AG1084" s="1759"/>
      <c r="AH1084" s="1759"/>
      <c r="AI1084" s="1759"/>
      <c r="AJ1084" s="1759"/>
      <c r="AK1084" s="1759"/>
      <c r="AL1084" s="1759"/>
      <c r="AM1084" s="1759"/>
      <c r="AN1084" s="1759"/>
      <c r="AO1084" s="1759"/>
      <c r="AP1084" s="1759"/>
      <c r="AQ1084" s="1759"/>
      <c r="AR1084" s="1759"/>
      <c r="AS1084" s="14"/>
      <c r="AT1084" s="68"/>
    </row>
    <row r="1085" spans="1:51" ht="12.95" customHeight="1">
      <c r="A1085" s="1"/>
      <c r="B1085" s="1"/>
      <c r="C1085" s="1391"/>
      <c r="D1085" s="1391"/>
      <c r="E1085" s="1759"/>
      <c r="F1085" s="1759"/>
      <c r="G1085" s="1759"/>
      <c r="H1085" s="1759"/>
      <c r="I1085" s="1759"/>
      <c r="J1085" s="1759"/>
      <c r="K1085" s="1759"/>
      <c r="L1085" s="1759"/>
      <c r="M1085" s="1759"/>
      <c r="N1085" s="1759"/>
      <c r="O1085" s="1759"/>
      <c r="P1085" s="1759"/>
      <c r="Q1085" s="1759"/>
      <c r="R1085" s="1759"/>
      <c r="S1085" s="1759"/>
      <c r="T1085" s="1759"/>
      <c r="U1085" s="1759"/>
      <c r="V1085" s="1759"/>
      <c r="W1085" s="1759"/>
      <c r="X1085" s="1759"/>
      <c r="Y1085" s="1759"/>
      <c r="Z1085" s="1759"/>
      <c r="AA1085" s="1759"/>
      <c r="AB1085" s="1759"/>
      <c r="AC1085" s="1759"/>
      <c r="AD1085" s="1759"/>
      <c r="AE1085" s="1759"/>
      <c r="AF1085" s="1759"/>
      <c r="AG1085" s="1759"/>
      <c r="AH1085" s="1759"/>
      <c r="AI1085" s="1759"/>
      <c r="AJ1085" s="1759"/>
      <c r="AK1085" s="1759"/>
      <c r="AL1085" s="1759"/>
      <c r="AM1085" s="1759"/>
      <c r="AN1085" s="1759"/>
      <c r="AO1085" s="1759"/>
      <c r="AP1085" s="1759"/>
      <c r="AQ1085" s="1759"/>
      <c r="AR1085" s="1759"/>
      <c r="AS1085" s="14"/>
      <c r="AT1085" s="68"/>
    </row>
    <row r="1086" spans="1:51" ht="12.95" customHeight="1">
      <c r="A1086" s="1"/>
      <c r="B1086" s="1"/>
      <c r="C1086" s="1391"/>
      <c r="D1086" s="1391"/>
      <c r="E1086" s="1759"/>
      <c r="F1086" s="1759"/>
      <c r="G1086" s="1759"/>
      <c r="H1086" s="1759"/>
      <c r="I1086" s="1759"/>
      <c r="J1086" s="1759"/>
      <c r="K1086" s="1759"/>
      <c r="L1086" s="1759"/>
      <c r="M1086" s="1759"/>
      <c r="N1086" s="1759"/>
      <c r="O1086" s="1759"/>
      <c r="P1086" s="1759"/>
      <c r="Q1086" s="1759"/>
      <c r="R1086" s="1759"/>
      <c r="S1086" s="1759"/>
      <c r="T1086" s="1759"/>
      <c r="U1086" s="1759"/>
      <c r="V1086" s="1759"/>
      <c r="W1086" s="1759"/>
      <c r="X1086" s="1759"/>
      <c r="Y1086" s="1759"/>
      <c r="Z1086" s="1759"/>
      <c r="AA1086" s="1759"/>
      <c r="AB1086" s="1759"/>
      <c r="AC1086" s="1759"/>
      <c r="AD1086" s="1759"/>
      <c r="AE1086" s="1759"/>
      <c r="AF1086" s="1759"/>
      <c r="AG1086" s="1759"/>
      <c r="AH1086" s="1759"/>
      <c r="AI1086" s="1759"/>
      <c r="AJ1086" s="1759"/>
      <c r="AK1086" s="1759"/>
      <c r="AL1086" s="1759"/>
      <c r="AM1086" s="1759"/>
      <c r="AN1086" s="1759"/>
      <c r="AO1086" s="1759"/>
      <c r="AP1086" s="1759"/>
      <c r="AQ1086" s="1759"/>
      <c r="AR1086" s="1759"/>
      <c r="AS1086" s="14"/>
      <c r="AT1086" s="68"/>
    </row>
    <row r="1087" spans="1:51" ht="12.95" customHeight="1">
      <c r="A1087" s="1"/>
      <c r="B1087" s="1"/>
      <c r="C1087" s="1391"/>
      <c r="D1087" s="1391"/>
      <c r="E1087" s="1759"/>
      <c r="F1087" s="1759"/>
      <c r="G1087" s="1759"/>
      <c r="H1087" s="1759"/>
      <c r="I1087" s="1759"/>
      <c r="J1087" s="1759"/>
      <c r="K1087" s="1759"/>
      <c r="L1087" s="1759"/>
      <c r="M1087" s="1759"/>
      <c r="N1087" s="1759"/>
      <c r="O1087" s="1759"/>
      <c r="P1087" s="1759"/>
      <c r="Q1087" s="1759"/>
      <c r="R1087" s="1759"/>
      <c r="S1087" s="1759"/>
      <c r="T1087" s="1759"/>
      <c r="U1087" s="1759"/>
      <c r="V1087" s="1759"/>
      <c r="W1087" s="1759"/>
      <c r="X1087" s="1759"/>
      <c r="Y1087" s="1759"/>
      <c r="Z1087" s="1759"/>
      <c r="AA1087" s="1759"/>
      <c r="AB1087" s="1759"/>
      <c r="AC1087" s="1759"/>
      <c r="AD1087" s="1759"/>
      <c r="AE1087" s="1759"/>
      <c r="AF1087" s="1759"/>
      <c r="AG1087" s="1759"/>
      <c r="AH1087" s="1759"/>
      <c r="AI1087" s="1759"/>
      <c r="AJ1087" s="1759"/>
      <c r="AK1087" s="1759"/>
      <c r="AL1087" s="1759"/>
      <c r="AM1087" s="1759"/>
      <c r="AN1087" s="1759"/>
      <c r="AO1087" s="1759"/>
      <c r="AP1087" s="1759"/>
      <c r="AQ1087" s="1759"/>
      <c r="AR1087" s="1759"/>
      <c r="AS1087" s="14"/>
      <c r="AT1087" s="68"/>
    </row>
    <row r="1088" spans="1:51" ht="12.95" customHeight="1">
      <c r="A1088" s="1"/>
      <c r="B1088" s="1"/>
      <c r="C1088" s="1391"/>
      <c r="D1088" s="1391"/>
      <c r="E1088" s="1759"/>
      <c r="F1088" s="1759"/>
      <c r="G1088" s="1759"/>
      <c r="H1088" s="1759"/>
      <c r="I1088" s="1759"/>
      <c r="J1088" s="1759"/>
      <c r="K1088" s="1759"/>
      <c r="L1088" s="1759"/>
      <c r="M1088" s="1759"/>
      <c r="N1088" s="1759"/>
      <c r="O1088" s="1759"/>
      <c r="P1088" s="1759"/>
      <c r="Q1088" s="1759"/>
      <c r="R1088" s="1759"/>
      <c r="S1088" s="1759"/>
      <c r="T1088" s="1759"/>
      <c r="U1088" s="1759"/>
      <c r="V1088" s="1759"/>
      <c r="W1088" s="1759"/>
      <c r="X1088" s="1759"/>
      <c r="Y1088" s="1759"/>
      <c r="Z1088" s="1759"/>
      <c r="AA1088" s="1759"/>
      <c r="AB1088" s="1759"/>
      <c r="AC1088" s="1759"/>
      <c r="AD1088" s="1759"/>
      <c r="AE1088" s="1759"/>
      <c r="AF1088" s="1759"/>
      <c r="AG1088" s="1759"/>
      <c r="AH1088" s="1759"/>
      <c r="AI1088" s="1759"/>
      <c r="AJ1088" s="1759"/>
      <c r="AK1088" s="1759"/>
      <c r="AL1088" s="1759"/>
      <c r="AM1088" s="1759"/>
      <c r="AN1088" s="1759"/>
      <c r="AO1088" s="1759"/>
      <c r="AP1088" s="1759"/>
      <c r="AQ1088" s="1759"/>
      <c r="AR1088" s="1759"/>
      <c r="AS1088" s="14"/>
      <c r="AT1088" s="68"/>
    </row>
    <row r="1089" spans="1:45" ht="12.95" customHeight="1">
      <c r="A1089" s="1"/>
      <c r="B1089" s="1"/>
      <c r="C1089" s="1391"/>
      <c r="D1089" s="139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06" t="s">
        <v>589</v>
      </c>
      <c r="B1090" s="1306"/>
      <c r="C1090" s="1391">
        <v>5</v>
      </c>
      <c r="D1090" s="1391"/>
      <c r="E1090" s="1759" t="s">
        <v>2192</v>
      </c>
      <c r="F1090" s="1759"/>
      <c r="G1090" s="1759"/>
      <c r="H1090" s="1759"/>
      <c r="I1090" s="1759"/>
      <c r="J1090" s="1759"/>
      <c r="K1090" s="1759"/>
      <c r="L1090" s="1759"/>
      <c r="M1090" s="1759"/>
      <c r="N1090" s="1759"/>
      <c r="O1090" s="1759"/>
      <c r="P1090" s="1759"/>
      <c r="Q1090" s="1759"/>
      <c r="R1090" s="1759"/>
      <c r="S1090" s="1759"/>
      <c r="T1090" s="1759"/>
      <c r="U1090" s="1759"/>
      <c r="V1090" s="1759"/>
      <c r="W1090" s="1759"/>
      <c r="X1090" s="1759"/>
      <c r="Y1090" s="1759"/>
      <c r="Z1090" s="1759"/>
      <c r="AA1090" s="1759"/>
      <c r="AB1090" s="1759"/>
      <c r="AC1090" s="1759"/>
      <c r="AD1090" s="1759"/>
      <c r="AE1090" s="1759"/>
      <c r="AF1090" s="1759"/>
      <c r="AG1090" s="1759"/>
      <c r="AH1090" s="1759"/>
      <c r="AI1090" s="1759"/>
      <c r="AJ1090" s="1759"/>
      <c r="AK1090" s="1759"/>
      <c r="AL1090" s="1759"/>
      <c r="AM1090" s="1759"/>
      <c r="AN1090" s="1759"/>
      <c r="AO1090" s="1759"/>
      <c r="AP1090" s="1759"/>
      <c r="AQ1090" s="1759"/>
      <c r="AR1090" s="1759"/>
      <c r="AS1090" s="14"/>
    </row>
    <row r="1091" spans="1:45" ht="12.95" customHeight="1">
      <c r="A1091" s="4"/>
      <c r="B1091" s="4"/>
      <c r="C1091" s="1391"/>
      <c r="D1091" s="1391"/>
      <c r="E1091" s="1759"/>
      <c r="F1091" s="1759"/>
      <c r="G1091" s="1759"/>
      <c r="H1091" s="1759"/>
      <c r="I1091" s="1759"/>
      <c r="J1091" s="1759"/>
      <c r="K1091" s="1759"/>
      <c r="L1091" s="1759"/>
      <c r="M1091" s="1759"/>
      <c r="N1091" s="1759"/>
      <c r="O1091" s="1759"/>
      <c r="P1091" s="1759"/>
      <c r="Q1091" s="1759"/>
      <c r="R1091" s="1759"/>
      <c r="S1091" s="1759"/>
      <c r="T1091" s="1759"/>
      <c r="U1091" s="1759"/>
      <c r="V1091" s="1759"/>
      <c r="W1091" s="1759"/>
      <c r="X1091" s="1759"/>
      <c r="Y1091" s="1759"/>
      <c r="Z1091" s="1759"/>
      <c r="AA1091" s="1759"/>
      <c r="AB1091" s="1759"/>
      <c r="AC1091" s="1759"/>
      <c r="AD1091" s="1759"/>
      <c r="AE1091" s="1759"/>
      <c r="AF1091" s="1759"/>
      <c r="AG1091" s="1759"/>
      <c r="AH1091" s="1759"/>
      <c r="AI1091" s="1759"/>
      <c r="AJ1091" s="1759"/>
      <c r="AK1091" s="1759"/>
      <c r="AL1091" s="1759"/>
      <c r="AM1091" s="1759"/>
      <c r="AN1091" s="1759"/>
      <c r="AO1091" s="1759"/>
      <c r="AP1091" s="1759"/>
      <c r="AQ1091" s="1759"/>
      <c r="AR1091" s="1759"/>
      <c r="AS1091" s="14"/>
    </row>
    <row r="1092" spans="1:45" ht="12.95" customHeight="1">
      <c r="A1092" s="4"/>
      <c r="B1092" s="4"/>
      <c r="C1092" s="1391"/>
      <c r="D1092" s="1391"/>
      <c r="E1092" s="1759"/>
      <c r="F1092" s="1759"/>
      <c r="G1092" s="1759"/>
      <c r="H1092" s="1759"/>
      <c r="I1092" s="1759"/>
      <c r="J1092" s="1759"/>
      <c r="K1092" s="1759"/>
      <c r="L1092" s="1759"/>
      <c r="M1092" s="1759"/>
      <c r="N1092" s="1759"/>
      <c r="O1092" s="1759"/>
      <c r="P1092" s="1759"/>
      <c r="Q1092" s="1759"/>
      <c r="R1092" s="1759"/>
      <c r="S1092" s="1759"/>
      <c r="T1092" s="1759"/>
      <c r="U1092" s="1759"/>
      <c r="V1092" s="1759"/>
      <c r="W1092" s="1759"/>
      <c r="X1092" s="1759"/>
      <c r="Y1092" s="1759"/>
      <c r="Z1092" s="1759"/>
      <c r="AA1092" s="1759"/>
      <c r="AB1092" s="1759"/>
      <c r="AC1092" s="1759"/>
      <c r="AD1092" s="1759"/>
      <c r="AE1092" s="1759"/>
      <c r="AF1092" s="1759"/>
      <c r="AG1092" s="1759"/>
      <c r="AH1092" s="1759"/>
      <c r="AI1092" s="1759"/>
      <c r="AJ1092" s="1759"/>
      <c r="AK1092" s="1759"/>
      <c r="AL1092" s="1759"/>
      <c r="AM1092" s="1759"/>
      <c r="AN1092" s="1759"/>
      <c r="AO1092" s="1759"/>
      <c r="AP1092" s="1759"/>
      <c r="AQ1092" s="1759"/>
      <c r="AR1092" s="1759"/>
      <c r="AS1092" s="14"/>
    </row>
    <row r="1093" spans="1:45" ht="12.95" customHeight="1">
      <c r="A1093" s="35"/>
      <c r="B1093" s="25"/>
      <c r="C1093" s="1391"/>
      <c r="D1093" s="139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06" t="s">
        <v>589</v>
      </c>
      <c r="B1094" s="1306"/>
      <c r="C1094" s="1391">
        <v>6</v>
      </c>
      <c r="D1094" s="1391"/>
      <c r="E1094" s="1759" t="s">
        <v>2193</v>
      </c>
      <c r="F1094" s="1759"/>
      <c r="G1094" s="1759"/>
      <c r="H1094" s="1759"/>
      <c r="I1094" s="1759"/>
      <c r="J1094" s="1759"/>
      <c r="K1094" s="1759"/>
      <c r="L1094" s="1759"/>
      <c r="M1094" s="1759"/>
      <c r="N1094" s="1759"/>
      <c r="O1094" s="1759"/>
      <c r="P1094" s="1759"/>
      <c r="Q1094" s="1759"/>
      <c r="R1094" s="1759"/>
      <c r="S1094" s="1759"/>
      <c r="T1094" s="1759"/>
      <c r="U1094" s="1759"/>
      <c r="V1094" s="1759"/>
      <c r="W1094" s="1759"/>
      <c r="X1094" s="1759"/>
      <c r="Y1094" s="1759"/>
      <c r="Z1094" s="1759"/>
      <c r="AA1094" s="1759"/>
      <c r="AB1094" s="1759"/>
      <c r="AC1094" s="1759"/>
      <c r="AD1094" s="1759"/>
      <c r="AE1094" s="1759"/>
      <c r="AF1094" s="1759"/>
      <c r="AG1094" s="1759"/>
      <c r="AH1094" s="1759"/>
      <c r="AI1094" s="1759"/>
      <c r="AJ1094" s="1759"/>
      <c r="AK1094" s="1759"/>
      <c r="AL1094" s="1759"/>
      <c r="AM1094" s="1759"/>
      <c r="AN1094" s="1759"/>
      <c r="AO1094" s="1759"/>
      <c r="AP1094" s="1759"/>
      <c r="AQ1094" s="1759"/>
      <c r="AR1094" s="1759"/>
      <c r="AS1094" s="14"/>
    </row>
    <row r="1095" spans="1:45" ht="12.95" customHeight="1">
      <c r="A1095" s="1"/>
      <c r="B1095" s="1"/>
      <c r="C1095" s="1"/>
      <c r="D1095" s="1"/>
      <c r="E1095" s="1759"/>
      <c r="F1095" s="1759"/>
      <c r="G1095" s="1759"/>
      <c r="H1095" s="1759"/>
      <c r="I1095" s="1759"/>
      <c r="J1095" s="1759"/>
      <c r="K1095" s="1759"/>
      <c r="L1095" s="1759"/>
      <c r="M1095" s="1759"/>
      <c r="N1095" s="1759"/>
      <c r="O1095" s="1759"/>
      <c r="P1095" s="1759"/>
      <c r="Q1095" s="1759"/>
      <c r="R1095" s="1759"/>
      <c r="S1095" s="1759"/>
      <c r="T1095" s="1759"/>
      <c r="U1095" s="1759"/>
      <c r="V1095" s="1759"/>
      <c r="W1095" s="1759"/>
      <c r="X1095" s="1759"/>
      <c r="Y1095" s="1759"/>
      <c r="Z1095" s="1759"/>
      <c r="AA1095" s="1759"/>
      <c r="AB1095" s="1759"/>
      <c r="AC1095" s="1759"/>
      <c r="AD1095" s="1759"/>
      <c r="AE1095" s="1759"/>
      <c r="AF1095" s="1759"/>
      <c r="AG1095" s="1759"/>
      <c r="AH1095" s="1759"/>
      <c r="AI1095" s="1759"/>
      <c r="AJ1095" s="1759"/>
      <c r="AK1095" s="1759"/>
      <c r="AL1095" s="1759"/>
      <c r="AM1095" s="1759"/>
      <c r="AN1095" s="1759"/>
      <c r="AO1095" s="1759"/>
      <c r="AP1095" s="1759"/>
      <c r="AQ1095" s="1759"/>
      <c r="AR1095" s="1759"/>
      <c r="AS1095" s="14"/>
    </row>
    <row r="1096" spans="1:45" ht="12.95" customHeight="1">
      <c r="A1096" s="1"/>
      <c r="B1096" s="1"/>
      <c r="C1096" s="1391"/>
      <c r="D1096" s="1391"/>
      <c r="E1096" s="1759"/>
      <c r="F1096" s="1759"/>
      <c r="G1096" s="1759"/>
      <c r="H1096" s="1759"/>
      <c r="I1096" s="1759"/>
      <c r="J1096" s="1759"/>
      <c r="K1096" s="1759"/>
      <c r="L1096" s="1759"/>
      <c r="M1096" s="1759"/>
      <c r="N1096" s="1759"/>
      <c r="O1096" s="1759"/>
      <c r="P1096" s="1759"/>
      <c r="Q1096" s="1759"/>
      <c r="R1096" s="1759"/>
      <c r="S1096" s="1759"/>
      <c r="T1096" s="1759"/>
      <c r="U1096" s="1759"/>
      <c r="V1096" s="1759"/>
      <c r="W1096" s="1759"/>
      <c r="X1096" s="1759"/>
      <c r="Y1096" s="1759"/>
      <c r="Z1096" s="1759"/>
      <c r="AA1096" s="1759"/>
      <c r="AB1096" s="1759"/>
      <c r="AC1096" s="1759"/>
      <c r="AD1096" s="1759"/>
      <c r="AE1096" s="1759"/>
      <c r="AF1096" s="1759"/>
      <c r="AG1096" s="1759"/>
      <c r="AH1096" s="1759"/>
      <c r="AI1096" s="1759"/>
      <c r="AJ1096" s="1759"/>
      <c r="AK1096" s="1759"/>
      <c r="AL1096" s="1759"/>
      <c r="AM1096" s="1759"/>
      <c r="AN1096" s="1759"/>
      <c r="AO1096" s="1759"/>
      <c r="AP1096" s="1759"/>
      <c r="AQ1096" s="1759"/>
      <c r="AR1096" s="1759"/>
      <c r="AS1096" s="14"/>
    </row>
    <row r="1097" spans="1:45" ht="12.95" customHeight="1">
      <c r="A1097" s="35"/>
      <c r="B1097" s="25"/>
      <c r="C1097" s="1391"/>
      <c r="D1097" s="139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06" t="s">
        <v>589</v>
      </c>
      <c r="B1098" s="1306"/>
      <c r="C1098" s="1391">
        <v>7</v>
      </c>
      <c r="D1098" s="1391"/>
      <c r="E1098" s="1759" t="s">
        <v>2091</v>
      </c>
      <c r="F1098" s="1759"/>
      <c r="G1098" s="1759"/>
      <c r="H1098" s="1759"/>
      <c r="I1098" s="1759"/>
      <c r="J1098" s="1759"/>
      <c r="K1098" s="1759"/>
      <c r="L1098" s="1759"/>
      <c r="M1098" s="1759"/>
      <c r="N1098" s="1759"/>
      <c r="O1098" s="1759"/>
      <c r="P1098" s="1759"/>
      <c r="Q1098" s="1759"/>
      <c r="R1098" s="1759"/>
      <c r="S1098" s="1759"/>
      <c r="T1098" s="1759"/>
      <c r="U1098" s="1759"/>
      <c r="V1098" s="1759"/>
      <c r="W1098" s="1759"/>
      <c r="X1098" s="1759"/>
      <c r="Y1098" s="1759"/>
      <c r="Z1098" s="1759"/>
      <c r="AA1098" s="1759"/>
      <c r="AB1098" s="1759"/>
      <c r="AC1098" s="1759"/>
      <c r="AD1098" s="1759"/>
      <c r="AE1098" s="1759"/>
      <c r="AF1098" s="1759"/>
      <c r="AG1098" s="1759"/>
      <c r="AH1098" s="1759"/>
      <c r="AI1098" s="1759"/>
      <c r="AJ1098" s="1759"/>
      <c r="AK1098" s="1759"/>
      <c r="AL1098" s="1759"/>
      <c r="AM1098" s="1759"/>
      <c r="AN1098" s="1759"/>
      <c r="AO1098" s="1759"/>
      <c r="AP1098" s="1759"/>
      <c r="AQ1098" s="1759"/>
      <c r="AR1098" s="1759"/>
      <c r="AS1098" s="14"/>
    </row>
    <row r="1099" spans="1:45" ht="12.95" customHeight="1">
      <c r="A1099" s="1"/>
      <c r="B1099" s="1"/>
      <c r="C1099" s="1391"/>
      <c r="D1099" s="1391"/>
      <c r="E1099" s="1759"/>
      <c r="F1099" s="1759"/>
      <c r="G1099" s="1759"/>
      <c r="H1099" s="1759"/>
      <c r="I1099" s="1759"/>
      <c r="J1099" s="1759"/>
      <c r="K1099" s="1759"/>
      <c r="L1099" s="1759"/>
      <c r="M1099" s="1759"/>
      <c r="N1099" s="1759"/>
      <c r="O1099" s="1759"/>
      <c r="P1099" s="1759"/>
      <c r="Q1099" s="1759"/>
      <c r="R1099" s="1759"/>
      <c r="S1099" s="1759"/>
      <c r="T1099" s="1759"/>
      <c r="U1099" s="1759"/>
      <c r="V1099" s="1759"/>
      <c r="W1099" s="1759"/>
      <c r="X1099" s="1759"/>
      <c r="Y1099" s="1759"/>
      <c r="Z1099" s="1759"/>
      <c r="AA1099" s="1759"/>
      <c r="AB1099" s="1759"/>
      <c r="AC1099" s="1759"/>
      <c r="AD1099" s="1759"/>
      <c r="AE1099" s="1759"/>
      <c r="AF1099" s="1759"/>
      <c r="AG1099" s="1759"/>
      <c r="AH1099" s="1759"/>
      <c r="AI1099" s="1759"/>
      <c r="AJ1099" s="1759"/>
      <c r="AK1099" s="1759"/>
      <c r="AL1099" s="1759"/>
      <c r="AM1099" s="1759"/>
      <c r="AN1099" s="1759"/>
      <c r="AO1099" s="1759"/>
      <c r="AP1099" s="1759"/>
      <c r="AQ1099" s="1759"/>
      <c r="AR1099" s="1759"/>
      <c r="AS1099" s="14"/>
    </row>
    <row r="1100" spans="1:45" ht="12.95" customHeight="1">
      <c r="A1100" s="1"/>
      <c r="B1100" s="1"/>
      <c r="C1100" s="1391"/>
      <c r="D1100" s="1391"/>
      <c r="E1100" s="1759"/>
      <c r="F1100" s="1759"/>
      <c r="G1100" s="1759"/>
      <c r="H1100" s="1759"/>
      <c r="I1100" s="1759"/>
      <c r="J1100" s="1759"/>
      <c r="K1100" s="1759"/>
      <c r="L1100" s="1759"/>
      <c r="M1100" s="1759"/>
      <c r="N1100" s="1759"/>
      <c r="O1100" s="1759"/>
      <c r="P1100" s="1759"/>
      <c r="Q1100" s="1759"/>
      <c r="R1100" s="1759"/>
      <c r="S1100" s="1759"/>
      <c r="T1100" s="1759"/>
      <c r="U1100" s="1759"/>
      <c r="V1100" s="1759"/>
      <c r="W1100" s="1759"/>
      <c r="X1100" s="1759"/>
      <c r="Y1100" s="1759"/>
      <c r="Z1100" s="1759"/>
      <c r="AA1100" s="1759"/>
      <c r="AB1100" s="1759"/>
      <c r="AC1100" s="1759"/>
      <c r="AD1100" s="1759"/>
      <c r="AE1100" s="1759"/>
      <c r="AF1100" s="1759"/>
      <c r="AG1100" s="1759"/>
      <c r="AH1100" s="1759"/>
      <c r="AI1100" s="1759"/>
      <c r="AJ1100" s="1759"/>
      <c r="AK1100" s="1759"/>
      <c r="AL1100" s="1759"/>
      <c r="AM1100" s="1759"/>
      <c r="AN1100" s="1759"/>
      <c r="AO1100" s="1759"/>
      <c r="AP1100" s="1759"/>
      <c r="AQ1100" s="1759"/>
      <c r="AR1100" s="1759"/>
      <c r="AS1100" s="14"/>
    </row>
    <row r="1101" spans="1:45" ht="12.95" customHeight="1">
      <c r="A1101" s="1"/>
      <c r="B1101" s="1"/>
      <c r="C1101" s="1391"/>
      <c r="D1101" s="139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91"/>
      <c r="D1102" s="139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06" t="s">
        <v>589</v>
      </c>
      <c r="B1103" s="1306"/>
      <c r="C1103" s="1391">
        <v>8</v>
      </c>
      <c r="D1103" s="1391"/>
      <c r="E1103" s="1759" t="s">
        <v>1071</v>
      </c>
      <c r="F1103" s="1759"/>
      <c r="G1103" s="1759"/>
      <c r="H1103" s="1759"/>
      <c r="I1103" s="1759"/>
      <c r="J1103" s="1759"/>
      <c r="K1103" s="1759"/>
      <c r="L1103" s="1759"/>
      <c r="M1103" s="1759"/>
      <c r="N1103" s="1759"/>
      <c r="O1103" s="1759"/>
      <c r="P1103" s="1759"/>
      <c r="Q1103" s="1759"/>
      <c r="R1103" s="1759"/>
      <c r="S1103" s="1759"/>
      <c r="T1103" s="1759"/>
      <c r="U1103" s="1759"/>
      <c r="V1103" s="1759"/>
      <c r="W1103" s="1759"/>
      <c r="X1103" s="1759"/>
      <c r="Y1103" s="1759"/>
      <c r="Z1103" s="1759"/>
      <c r="AA1103" s="1759"/>
      <c r="AB1103" s="1759"/>
      <c r="AC1103" s="1759"/>
      <c r="AD1103" s="1759"/>
      <c r="AE1103" s="1759"/>
      <c r="AF1103" s="1759"/>
      <c r="AG1103" s="1759"/>
      <c r="AH1103" s="1759"/>
      <c r="AI1103" s="1759"/>
      <c r="AJ1103" s="1759"/>
      <c r="AK1103" s="1759"/>
      <c r="AL1103" s="1759"/>
      <c r="AM1103" s="1759"/>
      <c r="AN1103" s="1759"/>
      <c r="AO1103" s="1759"/>
      <c r="AP1103" s="1759"/>
      <c r="AQ1103" s="1759"/>
      <c r="AR1103" s="1759"/>
    </row>
    <row r="1104" spans="1:45" ht="12.95" customHeight="1">
      <c r="A1104" s="35"/>
      <c r="B1104" s="25"/>
      <c r="C1104" s="1391"/>
      <c r="D1104" s="1391"/>
      <c r="E1104" s="1759"/>
      <c r="F1104" s="1759"/>
      <c r="G1104" s="1759"/>
      <c r="H1104" s="1759"/>
      <c r="I1104" s="1759"/>
      <c r="J1104" s="1759"/>
      <c r="K1104" s="1759"/>
      <c r="L1104" s="1759"/>
      <c r="M1104" s="1759"/>
      <c r="N1104" s="1759"/>
      <c r="O1104" s="1759"/>
      <c r="P1104" s="1759"/>
      <c r="Q1104" s="1759"/>
      <c r="R1104" s="1759"/>
      <c r="S1104" s="1759"/>
      <c r="T1104" s="1759"/>
      <c r="U1104" s="1759"/>
      <c r="V1104" s="1759"/>
      <c r="W1104" s="1759"/>
      <c r="X1104" s="1759"/>
      <c r="Y1104" s="1759"/>
      <c r="Z1104" s="1759"/>
      <c r="AA1104" s="1759"/>
      <c r="AB1104" s="1759"/>
      <c r="AC1104" s="1759"/>
      <c r="AD1104" s="1759"/>
      <c r="AE1104" s="1759"/>
      <c r="AF1104" s="1759"/>
      <c r="AG1104" s="1759"/>
      <c r="AH1104" s="1759"/>
      <c r="AI1104" s="1759"/>
      <c r="AJ1104" s="1759"/>
      <c r="AK1104" s="1759"/>
      <c r="AL1104" s="1759"/>
      <c r="AM1104" s="1759"/>
      <c r="AN1104" s="1759"/>
      <c r="AO1104" s="1759"/>
      <c r="AP1104" s="1759"/>
      <c r="AQ1104" s="1759"/>
      <c r="AR1104" s="1759"/>
    </row>
    <row r="1105" spans="1:44" ht="12.95" customHeight="1">
      <c r="A1105" s="35"/>
      <c r="B1105" s="25"/>
      <c r="C1105" s="1391"/>
      <c r="D1105" s="139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06" t="s">
        <v>589</v>
      </c>
      <c r="B1106" s="1306"/>
      <c r="C1106" s="1796">
        <v>9</v>
      </c>
      <c r="D1106" s="1796"/>
      <c r="E1106" s="1759" t="s">
        <v>1073</v>
      </c>
      <c r="F1106" s="1759"/>
      <c r="G1106" s="1759"/>
      <c r="H1106" s="1759"/>
      <c r="I1106" s="1759"/>
      <c r="J1106" s="1759"/>
      <c r="K1106" s="1759"/>
      <c r="L1106" s="1759"/>
      <c r="M1106" s="1759"/>
      <c r="N1106" s="1759"/>
      <c r="O1106" s="1759"/>
      <c r="P1106" s="1759"/>
      <c r="Q1106" s="1759"/>
      <c r="R1106" s="1759"/>
      <c r="S1106" s="1759"/>
      <c r="T1106" s="1759"/>
      <c r="U1106" s="1759"/>
      <c r="V1106" s="1759"/>
      <c r="W1106" s="1759"/>
      <c r="X1106" s="1759"/>
      <c r="Y1106" s="1759"/>
      <c r="Z1106" s="1759"/>
      <c r="AA1106" s="1759"/>
      <c r="AB1106" s="1759"/>
      <c r="AC1106" s="1759"/>
      <c r="AD1106" s="1759"/>
      <c r="AE1106" s="1759"/>
      <c r="AF1106" s="1759"/>
      <c r="AG1106" s="1759"/>
      <c r="AH1106" s="1759"/>
      <c r="AI1106" s="1759"/>
      <c r="AJ1106" s="1759"/>
      <c r="AK1106" s="1759"/>
      <c r="AL1106" s="1759"/>
      <c r="AM1106" s="1759"/>
      <c r="AN1106" s="1759"/>
      <c r="AO1106" s="1759"/>
      <c r="AP1106" s="1759"/>
      <c r="AQ1106" s="1759"/>
      <c r="AR1106" s="1759"/>
    </row>
    <row r="1107" spans="1:44" ht="12.95" customHeight="1">
      <c r="A1107" s="1"/>
      <c r="B1107" s="1"/>
      <c r="C1107" s="1796"/>
      <c r="D1107" s="1796"/>
      <c r="E1107" s="1759"/>
      <c r="F1107" s="1759"/>
      <c r="G1107" s="1759"/>
      <c r="H1107" s="1759"/>
      <c r="I1107" s="1759"/>
      <c r="J1107" s="1759"/>
      <c r="K1107" s="1759"/>
      <c r="L1107" s="1759"/>
      <c r="M1107" s="1759"/>
      <c r="N1107" s="1759"/>
      <c r="O1107" s="1759"/>
      <c r="P1107" s="1759"/>
      <c r="Q1107" s="1759"/>
      <c r="R1107" s="1759"/>
      <c r="S1107" s="1759"/>
      <c r="T1107" s="1759"/>
      <c r="U1107" s="1759"/>
      <c r="V1107" s="1759"/>
      <c r="W1107" s="1759"/>
      <c r="X1107" s="1759"/>
      <c r="Y1107" s="1759"/>
      <c r="Z1107" s="1759"/>
      <c r="AA1107" s="1759"/>
      <c r="AB1107" s="1759"/>
      <c r="AC1107" s="1759"/>
      <c r="AD1107" s="1759"/>
      <c r="AE1107" s="1759"/>
      <c r="AF1107" s="1759"/>
      <c r="AG1107" s="1759"/>
      <c r="AH1107" s="1759"/>
      <c r="AI1107" s="1759"/>
      <c r="AJ1107" s="1759"/>
      <c r="AK1107" s="1759"/>
      <c r="AL1107" s="1759"/>
      <c r="AM1107" s="1759"/>
      <c r="AN1107" s="1759"/>
      <c r="AO1107" s="1759"/>
      <c r="AP1107" s="1759"/>
      <c r="AQ1107" s="1759"/>
      <c r="AR1107" s="1759"/>
    </row>
    <row r="1108" spans="1:44" ht="12.95" customHeight="1">
      <c r="A1108" s="35"/>
      <c r="B1108" s="25"/>
      <c r="C1108" s="1796"/>
      <c r="D1108" s="1796"/>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06" t="s">
        <v>589</v>
      </c>
      <c r="B1109" s="1306"/>
      <c r="C1109" s="1796">
        <v>10</v>
      </c>
      <c r="D1109" s="1796"/>
      <c r="E1109" s="1797" t="s">
        <v>2190</v>
      </c>
      <c r="F1109" s="1797"/>
      <c r="G1109" s="1797"/>
      <c r="H1109" s="1797"/>
      <c r="I1109" s="1797"/>
      <c r="J1109" s="1797"/>
      <c r="K1109" s="1797"/>
      <c r="L1109" s="1797"/>
      <c r="M1109" s="1797"/>
      <c r="N1109" s="1797"/>
      <c r="O1109" s="1797"/>
      <c r="P1109" s="1797"/>
      <c r="Q1109" s="1797"/>
      <c r="R1109" s="1797"/>
      <c r="S1109" s="1797"/>
      <c r="T1109" s="1797"/>
      <c r="U1109" s="1797"/>
      <c r="V1109" s="1797"/>
      <c r="W1109" s="1797"/>
      <c r="X1109" s="1797"/>
      <c r="Y1109" s="1797"/>
      <c r="Z1109" s="1797"/>
      <c r="AA1109" s="1797"/>
      <c r="AB1109" s="1797"/>
      <c r="AC1109" s="1797"/>
      <c r="AD1109" s="1797"/>
      <c r="AE1109" s="1797"/>
      <c r="AF1109" s="1797"/>
      <c r="AG1109" s="1797"/>
      <c r="AH1109" s="1797"/>
      <c r="AI1109" s="1797"/>
      <c r="AJ1109" s="1797"/>
      <c r="AK1109" s="1797"/>
      <c r="AL1109" s="1797"/>
      <c r="AM1109" s="1797"/>
      <c r="AN1109" s="1797"/>
      <c r="AO1109" s="1797"/>
      <c r="AP1109" s="1797"/>
      <c r="AQ1109" s="1797"/>
      <c r="AR1109" s="1797"/>
    </row>
    <row r="1110" spans="1:44" ht="12.95" customHeight="1">
      <c r="A1110" s="1"/>
      <c r="B1110" s="1"/>
      <c r="C1110" s="199"/>
      <c r="D1110" s="1154"/>
      <c r="E1110" s="1797"/>
      <c r="F1110" s="1797"/>
      <c r="G1110" s="1797"/>
      <c r="H1110" s="1797"/>
      <c r="I1110" s="1797"/>
      <c r="J1110" s="1797"/>
      <c r="K1110" s="1797"/>
      <c r="L1110" s="1797"/>
      <c r="M1110" s="1797"/>
      <c r="N1110" s="1797"/>
      <c r="O1110" s="1797"/>
      <c r="P1110" s="1797"/>
      <c r="Q1110" s="1797"/>
      <c r="R1110" s="1797"/>
      <c r="S1110" s="1797"/>
      <c r="T1110" s="1797"/>
      <c r="U1110" s="1797"/>
      <c r="V1110" s="1797"/>
      <c r="W1110" s="1797"/>
      <c r="X1110" s="1797"/>
      <c r="Y1110" s="1797"/>
      <c r="Z1110" s="1797"/>
      <c r="AA1110" s="1797"/>
      <c r="AB1110" s="1797"/>
      <c r="AC1110" s="1797"/>
      <c r="AD1110" s="1797"/>
      <c r="AE1110" s="1797"/>
      <c r="AF1110" s="1797"/>
      <c r="AG1110" s="1797"/>
      <c r="AH1110" s="1797"/>
      <c r="AI1110" s="1797"/>
      <c r="AJ1110" s="1797"/>
      <c r="AK1110" s="1797"/>
      <c r="AL1110" s="1797"/>
      <c r="AM1110" s="1797"/>
      <c r="AN1110" s="1797"/>
      <c r="AO1110" s="1797"/>
      <c r="AP1110" s="1797"/>
      <c r="AQ1110" s="1797"/>
      <c r="AR1110" s="1797"/>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06" t="s">
        <v>589</v>
      </c>
      <c r="B1112" s="1306"/>
      <c r="C1112" s="1796">
        <v>11</v>
      </c>
      <c r="D1112" s="1796"/>
      <c r="E1112" s="1797" t="s">
        <v>2191</v>
      </c>
      <c r="F1112" s="1797"/>
      <c r="G1112" s="1797"/>
      <c r="H1112" s="1797"/>
      <c r="I1112" s="1797"/>
      <c r="J1112" s="1797"/>
      <c r="K1112" s="1797"/>
      <c r="L1112" s="1797"/>
      <c r="M1112" s="1797"/>
      <c r="N1112" s="1797"/>
      <c r="O1112" s="1797"/>
      <c r="P1112" s="1797"/>
      <c r="Q1112" s="1797"/>
      <c r="R1112" s="1797"/>
      <c r="S1112" s="1797"/>
      <c r="T1112" s="1797"/>
      <c r="U1112" s="1797"/>
      <c r="V1112" s="1797"/>
      <c r="W1112" s="1797"/>
      <c r="X1112" s="1797"/>
      <c r="Y1112" s="1797"/>
      <c r="Z1112" s="1797"/>
      <c r="AA1112" s="1797"/>
      <c r="AB1112" s="1797"/>
      <c r="AC1112" s="1797"/>
      <c r="AD1112" s="1797"/>
      <c r="AE1112" s="1797"/>
      <c r="AF1112" s="1797"/>
      <c r="AG1112" s="1797"/>
      <c r="AH1112" s="1797"/>
      <c r="AI1112" s="1797"/>
      <c r="AJ1112" s="1797"/>
      <c r="AK1112" s="1797"/>
      <c r="AL1112" s="1797"/>
      <c r="AM1112" s="1797"/>
      <c r="AN1112" s="1797"/>
      <c r="AO1112" s="1797"/>
      <c r="AP1112" s="1797"/>
      <c r="AQ1112" s="1797"/>
      <c r="AR1112" s="1797"/>
    </row>
    <row r="1113" spans="1:44" ht="12.95" customHeight="1">
      <c r="A1113" s="1"/>
      <c r="B1113" s="1"/>
      <c r="C1113" s="199"/>
      <c r="D1113" s="1154"/>
      <c r="E1113" s="1797"/>
      <c r="F1113" s="1797"/>
      <c r="G1113" s="1797"/>
      <c r="H1113" s="1797"/>
      <c r="I1113" s="1797"/>
      <c r="J1113" s="1797"/>
      <c r="K1113" s="1797"/>
      <c r="L1113" s="1797"/>
      <c r="M1113" s="1797"/>
      <c r="N1113" s="1797"/>
      <c r="O1113" s="1797"/>
      <c r="P1113" s="1797"/>
      <c r="Q1113" s="1797"/>
      <c r="R1113" s="1797"/>
      <c r="S1113" s="1797"/>
      <c r="T1113" s="1797"/>
      <c r="U1113" s="1797"/>
      <c r="V1113" s="1797"/>
      <c r="W1113" s="1797"/>
      <c r="X1113" s="1797"/>
      <c r="Y1113" s="1797"/>
      <c r="Z1113" s="1797"/>
      <c r="AA1113" s="1797"/>
      <c r="AB1113" s="1797"/>
      <c r="AC1113" s="1797"/>
      <c r="AD1113" s="1797"/>
      <c r="AE1113" s="1797"/>
      <c r="AF1113" s="1797"/>
      <c r="AG1113" s="1797"/>
      <c r="AH1113" s="1797"/>
      <c r="AI1113" s="1797"/>
      <c r="AJ1113" s="1797"/>
      <c r="AK1113" s="1797"/>
      <c r="AL1113" s="1797"/>
      <c r="AM1113" s="1797"/>
      <c r="AN1113" s="1797"/>
      <c r="AO1113" s="1797"/>
      <c r="AP1113" s="1797"/>
      <c r="AQ1113" s="1797"/>
      <c r="AR1113" s="1797"/>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06" t="s">
        <v>589</v>
      </c>
      <c r="B1134" s="1306"/>
      <c r="C1134" s="199">
        <v>9</v>
      </c>
      <c r="D1134" s="1478" t="s">
        <v>1072</v>
      </c>
      <c r="E1134" s="1478"/>
      <c r="F1134" s="1478"/>
      <c r="G1134" s="1478"/>
      <c r="H1134" s="1478"/>
      <c r="I1134" s="1478"/>
      <c r="J1134" s="1478"/>
      <c r="K1134" s="1478"/>
      <c r="L1134" s="1478"/>
      <c r="M1134" s="1478"/>
      <c r="N1134" s="1478"/>
      <c r="O1134" s="1478"/>
      <c r="P1134" s="1478"/>
      <c r="Q1134" s="1478"/>
      <c r="R1134" s="1478"/>
      <c r="S1134" s="1478"/>
      <c r="T1134" s="1478"/>
      <c r="U1134" s="1478"/>
      <c r="V1134" s="1478"/>
      <c r="W1134" s="1478"/>
      <c r="X1134" s="1478"/>
      <c r="Y1134" s="1478"/>
      <c r="Z1134" s="1478"/>
      <c r="AA1134" s="1478"/>
      <c r="AB1134" s="1478"/>
      <c r="AC1134" s="1478"/>
      <c r="AD1134" s="1478"/>
      <c r="AE1134" s="1478"/>
      <c r="AF1134" s="1478"/>
      <c r="AG1134" s="1478"/>
      <c r="AH1134" s="1478"/>
      <c r="AI1134" s="1478"/>
      <c r="AJ1134" s="1478"/>
      <c r="AK1134" s="1478"/>
    </row>
    <row r="1135" spans="1:37" ht="0" hidden="1" customHeight="1">
      <c r="A1135" s="35"/>
      <c r="B1135" s="25"/>
      <c r="C1135" s="199"/>
      <c r="D1135" s="1478"/>
      <c r="E1135" s="1478"/>
      <c r="F1135" s="1478"/>
      <c r="G1135" s="1478"/>
      <c r="H1135" s="1478"/>
      <c r="I1135" s="1478"/>
      <c r="J1135" s="1478"/>
      <c r="K1135" s="1478"/>
      <c r="L1135" s="1478"/>
      <c r="M1135" s="1478"/>
      <c r="N1135" s="1478"/>
      <c r="O1135" s="1478"/>
      <c r="P1135" s="1478"/>
      <c r="Q1135" s="1478"/>
      <c r="R1135" s="1478"/>
      <c r="S1135" s="1478"/>
      <c r="T1135" s="1478"/>
      <c r="U1135" s="1478"/>
      <c r="V1135" s="1478"/>
      <c r="W1135" s="1478"/>
      <c r="X1135" s="1478"/>
      <c r="Y1135" s="1478"/>
      <c r="Z1135" s="1478"/>
      <c r="AA1135" s="1478"/>
      <c r="AB1135" s="1478"/>
      <c r="AC1135" s="1478"/>
      <c r="AD1135" s="1478"/>
      <c r="AE1135" s="1478"/>
      <c r="AF1135" s="1478"/>
      <c r="AG1135" s="1478"/>
      <c r="AH1135" s="1478"/>
      <c r="AI1135" s="1478"/>
      <c r="AJ1135" s="1478"/>
      <c r="AK1135" s="1478"/>
    </row>
    <row r="1136" spans="1:37" ht="0" hidden="1" customHeight="1">
      <c r="D1136" s="1478"/>
      <c r="E1136" s="1478"/>
      <c r="F1136" s="1478"/>
      <c r="G1136" s="1478"/>
      <c r="H1136" s="1478"/>
      <c r="I1136" s="1478"/>
      <c r="J1136" s="1478"/>
      <c r="K1136" s="1478"/>
      <c r="L1136" s="1478"/>
      <c r="M1136" s="1478"/>
      <c r="N1136" s="1478"/>
      <c r="O1136" s="1478"/>
      <c r="P1136" s="1478"/>
      <c r="Q1136" s="1478"/>
      <c r="R1136" s="1478"/>
      <c r="S1136" s="1478"/>
      <c r="T1136" s="1478"/>
      <c r="U1136" s="1478"/>
      <c r="V1136" s="1478"/>
      <c r="W1136" s="1478"/>
      <c r="X1136" s="1478"/>
      <c r="Y1136" s="1478"/>
      <c r="Z1136" s="1478"/>
      <c r="AA1136" s="1478"/>
      <c r="AB1136" s="1478"/>
      <c r="AC1136" s="1478"/>
      <c r="AD1136" s="1478"/>
      <c r="AE1136" s="1478"/>
      <c r="AF1136" s="1478"/>
      <c r="AG1136" s="1478"/>
      <c r="AH1136" s="1478"/>
      <c r="AI1136" s="1478"/>
      <c r="AJ1136" s="1478"/>
      <c r="AK1136" s="1478"/>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T728:W728"/>
    <mergeCell ref="AA664:AK664"/>
    <mergeCell ref="AM574:AS574"/>
    <mergeCell ref="R420:S420"/>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I567:AL567"/>
    <mergeCell ref="AC526:AF526"/>
    <mergeCell ref="AH512:AK512"/>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M570:AS570"/>
    <mergeCell ref="AO639:AS639"/>
    <mergeCell ref="AI564:AL564"/>
    <mergeCell ref="AO643:AS643"/>
    <mergeCell ref="W564:Y564"/>
    <mergeCell ref="Q564:S564"/>
    <mergeCell ref="M562:P562"/>
    <mergeCell ref="T632:V634"/>
    <mergeCell ref="AM566:AS566"/>
    <mergeCell ref="Z589:AE589"/>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W473:Y473"/>
    <mergeCell ref="C646:L646"/>
    <mergeCell ref="Z694:AK694"/>
    <mergeCell ref="Z687:AE687"/>
    <mergeCell ref="AI671:AK671"/>
    <mergeCell ref="B649:AN649"/>
    <mergeCell ref="Z594:AK594"/>
    <mergeCell ref="P430:R430"/>
    <mergeCell ref="Q398:U398"/>
    <mergeCell ref="AM572:AS572"/>
    <mergeCell ref="DO740:DS740"/>
    <mergeCell ref="DO728:DS728"/>
    <mergeCell ref="DO730:DS730"/>
    <mergeCell ref="DU731:DY731"/>
    <mergeCell ref="DZ731:ED731"/>
    <mergeCell ref="EE727:EI727"/>
    <mergeCell ref="DO743:DS743"/>
    <mergeCell ref="DO744:DS744"/>
    <mergeCell ref="EE742:EI742"/>
    <mergeCell ref="EE738:EI738"/>
    <mergeCell ref="EJ738:EN738"/>
    <mergeCell ref="DU737:DY737"/>
    <mergeCell ref="DO727:DS727"/>
    <mergeCell ref="DZ743:ED743"/>
    <mergeCell ref="ET747:EX747"/>
    <mergeCell ref="EO740:ES740"/>
    <mergeCell ref="ET737:EX737"/>
    <mergeCell ref="DU741:DY741"/>
    <mergeCell ref="ET741:EX741"/>
    <mergeCell ref="DU732:DY732"/>
    <mergeCell ref="DZ727:ED727"/>
    <mergeCell ref="EO741:ES741"/>
    <mergeCell ref="EO742:ES742"/>
    <mergeCell ref="EO744:ES744"/>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U757:DY757"/>
    <mergeCell ref="CU759:CY759"/>
    <mergeCell ref="CU784:CY784"/>
    <mergeCell ref="CP758:CT758"/>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33:DS733"/>
    <mergeCell ref="EM657:EQ657"/>
    <mergeCell ref="EJ748:EN748"/>
    <mergeCell ref="EC658:EG658"/>
    <mergeCell ref="EC663:EG663"/>
    <mergeCell ref="DJ728:DN728"/>
    <mergeCell ref="DJ725:DN725"/>
    <mergeCell ref="DJ730:DN730"/>
    <mergeCell ref="DZ745:ED745"/>
    <mergeCell ref="EJ746:EN746"/>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U759:DY759"/>
    <mergeCell ref="DZ759:ED759"/>
    <mergeCell ref="DU760:DY760"/>
    <mergeCell ref="DZ760:ED760"/>
    <mergeCell ref="DJ760:DN760"/>
    <mergeCell ref="DO781:DS781"/>
    <mergeCell ref="CZ745:DD745"/>
    <mergeCell ref="CZ759:DD759"/>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E755:DI755"/>
    <mergeCell ref="DU747:DY747"/>
    <mergeCell ref="DZ747:ED747"/>
    <mergeCell ref="DE751:DI751"/>
    <mergeCell ref="AK744:AO744"/>
    <mergeCell ref="DE781:DI781"/>
    <mergeCell ref="DJ761:DN761"/>
    <mergeCell ref="DE748:DI748"/>
    <mergeCell ref="DU748:DY748"/>
    <mergeCell ref="DZ748:ED748"/>
    <mergeCell ref="EE759:EI759"/>
    <mergeCell ref="DZ757:ED757"/>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2:DN782"/>
    <mergeCell ref="EE748:EI748"/>
    <mergeCell ref="EE753:EI753"/>
    <mergeCell ref="DU746:DY746"/>
    <mergeCell ref="ET744:EX744"/>
    <mergeCell ref="EJ735:EN735"/>
    <mergeCell ref="EO737:ES737"/>
    <mergeCell ref="EJ743:EN743"/>
    <mergeCell ref="EO743:ES743"/>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M669:EQ669"/>
    <mergeCell ref="DX663:EB663"/>
    <mergeCell ref="DX664:EB664"/>
    <mergeCell ref="ER678:EV678"/>
    <mergeCell ref="DX677:EB677"/>
    <mergeCell ref="EO725:ES725"/>
    <mergeCell ref="DZ730:ED730"/>
    <mergeCell ref="DU725:DY725"/>
    <mergeCell ref="EO726:ES726"/>
    <mergeCell ref="DU728:DY728"/>
    <mergeCell ref="EW671:FA671"/>
    <mergeCell ref="EH653:EL653"/>
    <mergeCell ref="EM653:EQ653"/>
    <mergeCell ref="ET745:EX745"/>
    <mergeCell ref="ET743:EX743"/>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W670:FA670"/>
    <mergeCell ref="DX671:EB671"/>
    <mergeCell ref="EC671:EG671"/>
    <mergeCell ref="EH671:EL671"/>
    <mergeCell ref="ER673:EV673"/>
    <mergeCell ref="EW673:FA673"/>
    <mergeCell ref="ER667:EV667"/>
    <mergeCell ref="EW667:FA667"/>
    <mergeCell ref="DX668:EB668"/>
    <mergeCell ref="EW677:FA677"/>
    <mergeCell ref="EW660:FA660"/>
    <mergeCell ref="EM662:EQ662"/>
    <mergeCell ref="ER662:EV662"/>
    <mergeCell ref="EM660:EQ660"/>
    <mergeCell ref="DX658:EB658"/>
    <mergeCell ref="DX675:EB675"/>
    <mergeCell ref="EW669:FA669"/>
    <mergeCell ref="EM670:EQ670"/>
    <mergeCell ref="ER670:EV670"/>
    <mergeCell ref="EH666:EL666"/>
    <mergeCell ref="EM666:EQ666"/>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FJ729:FN729"/>
    <mergeCell ref="FO729:FS729"/>
    <mergeCell ref="EZ735:FD735"/>
    <mergeCell ref="EZ739:FD739"/>
    <mergeCell ref="ET742:EX742"/>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R674:EV674"/>
    <mergeCell ref="EC667:EG667"/>
    <mergeCell ref="EC664:EG664"/>
    <mergeCell ref="EH664:EL664"/>
    <mergeCell ref="EM664:EQ664"/>
    <mergeCell ref="EJ725:EN725"/>
    <mergeCell ref="EE725:EI725"/>
    <mergeCell ref="EJ728:EN728"/>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EO730:ES730"/>
    <mergeCell ref="DU735:DY735"/>
    <mergeCell ref="EZ736:FD736"/>
    <mergeCell ref="FE736:FI736"/>
    <mergeCell ref="EZ741:FD741"/>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FJ736:FN736"/>
    <mergeCell ref="FO736:FS736"/>
    <mergeCell ref="FT749:FX749"/>
    <mergeCell ref="FY746:GC74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X737:AB737"/>
    <mergeCell ref="K749:N749"/>
    <mergeCell ref="X748:AB748"/>
    <mergeCell ref="X743:AB743"/>
    <mergeCell ref="X744:AB744"/>
    <mergeCell ref="T743:W743"/>
    <mergeCell ref="B736:F736"/>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U950:Z950"/>
    <mergeCell ref="AA952:AF952"/>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B741:F741"/>
    <mergeCell ref="X746:AB746"/>
    <mergeCell ref="F951:T951"/>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DO756:DS756"/>
    <mergeCell ref="DJ755:DN755"/>
    <mergeCell ref="DO737:DS737"/>
    <mergeCell ref="CU737:CY737"/>
    <mergeCell ref="T742:W742"/>
    <mergeCell ref="T740:W740"/>
    <mergeCell ref="T739:W739"/>
    <mergeCell ref="K745:N745"/>
    <mergeCell ref="AC758:AG758"/>
    <mergeCell ref="AC759:AG759"/>
    <mergeCell ref="AK755:AO755"/>
    <mergeCell ref="T738:W738"/>
    <mergeCell ref="CM753:CN753"/>
    <mergeCell ref="CI751:CJ751"/>
    <mergeCell ref="CK751:CL751"/>
    <mergeCell ref="CM746:CN746"/>
    <mergeCell ref="CK752:CL752"/>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DJ736:DN736"/>
    <mergeCell ref="DE726:DI726"/>
    <mergeCell ref="Z676:AK676"/>
    <mergeCell ref="AA680:AK680"/>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ET753:EX753"/>
    <mergeCell ref="DU754:DY754"/>
    <mergeCell ref="DZ754:ED754"/>
    <mergeCell ref="EE754:EI754"/>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DE736:DI736"/>
    <mergeCell ref="DJ729:DN729"/>
    <mergeCell ref="CZ736:DD736"/>
    <mergeCell ref="DJ733:DN733"/>
    <mergeCell ref="DJ731:DN731"/>
    <mergeCell ref="DJ732:DN732"/>
    <mergeCell ref="CZ730:DD730"/>
    <mergeCell ref="CZ732:DD732"/>
    <mergeCell ref="DO736:DS736"/>
    <mergeCell ref="DO731:DS731"/>
    <mergeCell ref="DO732:DS732"/>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CU726:CY726"/>
    <mergeCell ref="CP725:CT725"/>
    <mergeCell ref="AH726:AJ726"/>
    <mergeCell ref="AC726:AG726"/>
    <mergeCell ref="DE725:DI725"/>
    <mergeCell ref="CU727:CY727"/>
    <mergeCell ref="Z695:AE695"/>
    <mergeCell ref="CZ726:DD726"/>
    <mergeCell ref="DE728:DI728"/>
    <mergeCell ref="DE732:DI732"/>
    <mergeCell ref="CP731:CT731"/>
    <mergeCell ref="DE733:DI733"/>
    <mergeCell ref="CM726:CN726"/>
    <mergeCell ref="CK735:CL735"/>
    <mergeCell ref="CK733:CL733"/>
    <mergeCell ref="AE703:AI703"/>
    <mergeCell ref="DE734:DI734"/>
    <mergeCell ref="B728:F728"/>
    <mergeCell ref="B730:F730"/>
    <mergeCell ref="CP728:CT728"/>
    <mergeCell ref="CU728:CY728"/>
    <mergeCell ref="CU731:CY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AC642:AE642"/>
    <mergeCell ref="EC672:EG672"/>
    <mergeCell ref="Z679:AE679"/>
    <mergeCell ref="EC649:EG649"/>
    <mergeCell ref="EC651:EG651"/>
    <mergeCell ref="EC650:EG650"/>
    <mergeCell ref="AF646:AJ646"/>
    <mergeCell ref="Z675:AK675"/>
    <mergeCell ref="AC646:AE646"/>
    <mergeCell ref="EC645:EG645"/>
    <mergeCell ref="EC660:EG660"/>
    <mergeCell ref="EC655:EG655"/>
    <mergeCell ref="DX657:EB657"/>
    <mergeCell ref="DX649:EB649"/>
    <mergeCell ref="G651:R651"/>
    <mergeCell ref="M642:P642"/>
    <mergeCell ref="Z670:AK670"/>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AF645:AJ645"/>
    <mergeCell ref="AC644:AE644"/>
    <mergeCell ref="N607:O607"/>
    <mergeCell ref="AA598:AK598"/>
    <mergeCell ref="AI597:AK597"/>
    <mergeCell ref="Z604:AK604"/>
    <mergeCell ref="H606:R606"/>
    <mergeCell ref="AG591:AH591"/>
    <mergeCell ref="G596:R596"/>
    <mergeCell ref="Z588:AK588"/>
    <mergeCell ref="Z603:AK603"/>
    <mergeCell ref="G611:R611"/>
    <mergeCell ref="AC640:AE640"/>
    <mergeCell ref="AM564:AS564"/>
    <mergeCell ref="AI570:AL570"/>
    <mergeCell ref="CI729:CJ729"/>
    <mergeCell ref="Z576:AK576"/>
    <mergeCell ref="Z579:AK579"/>
    <mergeCell ref="AI572:AL572"/>
    <mergeCell ref="T569:V569"/>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AC637:AE637"/>
    <mergeCell ref="AO642:AS642"/>
    <mergeCell ref="AF643:AJ643"/>
    <mergeCell ref="AE565:AH565"/>
    <mergeCell ref="T565:V565"/>
    <mergeCell ref="AG689:AH68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K646:AN646"/>
    <mergeCell ref="CM725:CN725"/>
    <mergeCell ref="CM727:CN727"/>
    <mergeCell ref="CM729:CN729"/>
    <mergeCell ref="W711:AK711"/>
    <mergeCell ref="AF644:AJ644"/>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5:P635"/>
    <mergeCell ref="P605:R605"/>
    <mergeCell ref="H614:R614"/>
    <mergeCell ref="G618:R618"/>
    <mergeCell ref="Z621:AE621"/>
    <mergeCell ref="N623:O623"/>
    <mergeCell ref="H622:R622"/>
    <mergeCell ref="P597:R597"/>
    <mergeCell ref="Z596:AK596"/>
    <mergeCell ref="AA606:AK606"/>
    <mergeCell ref="C636:L636"/>
    <mergeCell ref="Z618:AK618"/>
    <mergeCell ref="M637:P637"/>
    <mergeCell ref="W632:Y634"/>
    <mergeCell ref="W636:Y636"/>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AK639:AN639"/>
    <mergeCell ref="AK640:AN640"/>
    <mergeCell ref="AF640:AJ640"/>
    <mergeCell ref="AC639:AE639"/>
    <mergeCell ref="AO641:AS641"/>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9:CN739"/>
    <mergeCell ref="CI741:CJ741"/>
    <mergeCell ref="CK739:CL739"/>
    <mergeCell ref="CK737:CL737"/>
    <mergeCell ref="CP738:CT738"/>
    <mergeCell ref="CU739:CY739"/>
    <mergeCell ref="CM740:CN740"/>
    <mergeCell ref="CK740:CL740"/>
    <mergeCell ref="CU732:CY732"/>
    <mergeCell ref="CU733:CY733"/>
    <mergeCell ref="AE701:AF701"/>
    <mergeCell ref="AH734:AJ734"/>
    <mergeCell ref="CZ725:DD725"/>
    <mergeCell ref="CI730:CJ730"/>
    <mergeCell ref="CG729:CH729"/>
    <mergeCell ref="P671:R671"/>
    <mergeCell ref="AO648:AS648"/>
    <mergeCell ref="Z683:AK683"/>
    <mergeCell ref="O733:S733"/>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N697:O697"/>
    <mergeCell ref="G685:R685"/>
    <mergeCell ref="Z686:AK686"/>
    <mergeCell ref="AH729:AJ729"/>
    <mergeCell ref="AK727:AO727"/>
    <mergeCell ref="CM731:CN731"/>
    <mergeCell ref="K735:N735"/>
    <mergeCell ref="CP734:CT734"/>
    <mergeCell ref="CP733:CT733"/>
    <mergeCell ref="G731:J731"/>
    <mergeCell ref="AK726:AO726"/>
    <mergeCell ref="CI733:CJ733"/>
    <mergeCell ref="CG726:CH726"/>
    <mergeCell ref="AI695:AK695"/>
    <mergeCell ref="CK726:CL726"/>
    <mergeCell ref="AC729:AG729"/>
    <mergeCell ref="K722:N725"/>
    <mergeCell ref="T730:W730"/>
    <mergeCell ref="G735:J735"/>
    <mergeCell ref="X733:AB733"/>
    <mergeCell ref="X729:AB729"/>
    <mergeCell ref="X735:AB735"/>
    <mergeCell ref="K728:N728"/>
    <mergeCell ref="AC727:AG727"/>
    <mergeCell ref="T735:W735"/>
    <mergeCell ref="X731:AB731"/>
    <mergeCell ref="T727:W727"/>
    <mergeCell ref="O732:S732"/>
    <mergeCell ref="CK731:CL731"/>
    <mergeCell ref="CK729:CL729"/>
    <mergeCell ref="CG735:CH735"/>
    <mergeCell ref="X740:AB740"/>
    <mergeCell ref="AC737:AG737"/>
    <mergeCell ref="O736:S736"/>
    <mergeCell ref="K726:N726"/>
    <mergeCell ref="G726:J726"/>
    <mergeCell ref="K734:N734"/>
    <mergeCell ref="T729:W729"/>
    <mergeCell ref="O734:S734"/>
    <mergeCell ref="O731:S731"/>
    <mergeCell ref="O726:S726"/>
    <mergeCell ref="AH737:AJ737"/>
    <mergeCell ref="O738:S738"/>
    <mergeCell ref="CK730:CL730"/>
    <mergeCell ref="CK727:CL727"/>
    <mergeCell ref="CI731:CJ731"/>
    <mergeCell ref="AC730:AG730"/>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AC744:AG744"/>
    <mergeCell ref="AK731:AO731"/>
    <mergeCell ref="AH735:AJ735"/>
    <mergeCell ref="AK732:AO732"/>
    <mergeCell ref="K730:N730"/>
    <mergeCell ref="K731:N731"/>
    <mergeCell ref="T731:W731"/>
    <mergeCell ref="K729:N729"/>
    <mergeCell ref="G683:R683"/>
    <mergeCell ref="P695:R695"/>
    <mergeCell ref="G732:J732"/>
    <mergeCell ref="X728:AB728"/>
    <mergeCell ref="O735:S735"/>
    <mergeCell ref="T733:W733"/>
    <mergeCell ref="O728:S728"/>
    <mergeCell ref="K727:N727"/>
    <mergeCell ref="AH736:AJ736"/>
    <mergeCell ref="AK739:AO739"/>
    <mergeCell ref="G738:J738"/>
    <mergeCell ref="X738:AB738"/>
    <mergeCell ref="T791:W794"/>
    <mergeCell ref="C836:H836"/>
    <mergeCell ref="C837:H837"/>
    <mergeCell ref="AC804:AG804"/>
    <mergeCell ref="AC796:AG796"/>
    <mergeCell ref="Y837:AB837"/>
    <mergeCell ref="Y808:AC808"/>
    <mergeCell ref="Q831:T832"/>
    <mergeCell ref="Z817:AE817"/>
    <mergeCell ref="Z823:AE823"/>
    <mergeCell ref="C834:H834"/>
    <mergeCell ref="AC800:AG800"/>
    <mergeCell ref="O795:S795"/>
    <mergeCell ref="O801:S801"/>
    <mergeCell ref="J798:N798"/>
    <mergeCell ref="J787:K787"/>
    <mergeCell ref="J795:N795"/>
    <mergeCell ref="C833:H833"/>
    <mergeCell ref="C835:H835"/>
    <mergeCell ref="Y833:AB833"/>
    <mergeCell ref="AC833:AF833"/>
    <mergeCell ref="M835:P835"/>
    <mergeCell ref="AC834:AF834"/>
    <mergeCell ref="AC835:AF835"/>
    <mergeCell ref="W885:AC885"/>
    <mergeCell ref="W884:AC884"/>
    <mergeCell ref="O737:S737"/>
    <mergeCell ref="R713:T713"/>
    <mergeCell ref="O739:S739"/>
    <mergeCell ref="T726:W726"/>
    <mergeCell ref="O729:S729"/>
    <mergeCell ref="O722:S725"/>
    <mergeCell ref="U831:X832"/>
    <mergeCell ref="Z816:AE816"/>
    <mergeCell ref="Y839:AB839"/>
    <mergeCell ref="W859:AC859"/>
    <mergeCell ref="W863:AC863"/>
    <mergeCell ref="W860:AC860"/>
    <mergeCell ref="W857:AC857"/>
    <mergeCell ref="W855:AC855"/>
    <mergeCell ref="M869:V869"/>
    <mergeCell ref="W853:AC853"/>
    <mergeCell ref="M854:V854"/>
    <mergeCell ref="T866:V866"/>
    <mergeCell ref="T868:V868"/>
    <mergeCell ref="T802:W802"/>
    <mergeCell ref="T800:W800"/>
    <mergeCell ref="O785:S785"/>
    <mergeCell ref="X796:AB796"/>
    <mergeCell ref="Q837:T837"/>
    <mergeCell ref="T799:W799"/>
    <mergeCell ref="Z821:AE821"/>
    <mergeCell ref="C806:AN807"/>
    <mergeCell ref="J801:N801"/>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U932:Z932"/>
    <mergeCell ref="M887:V887"/>
    <mergeCell ref="W867:AC867"/>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W876:AC876"/>
    <mergeCell ref="M833:P833"/>
    <mergeCell ref="U834:X834"/>
    <mergeCell ref="AG837:AJ837"/>
    <mergeCell ref="AA936:AF936"/>
    <mergeCell ref="W850:AC85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X782:AB782"/>
    <mergeCell ref="AC895:AH895"/>
    <mergeCell ref="W870:AC870"/>
    <mergeCell ref="W880:AC880"/>
    <mergeCell ref="W862:AC862"/>
    <mergeCell ref="W883:AC883"/>
    <mergeCell ref="W878:AC878"/>
    <mergeCell ref="C845:AJ845"/>
    <mergeCell ref="W875:AC875"/>
    <mergeCell ref="P824:Y824"/>
    <mergeCell ref="U837:X837"/>
    <mergeCell ref="Q836:T836"/>
    <mergeCell ref="U835:X835"/>
    <mergeCell ref="AG834:AJ834"/>
    <mergeCell ref="AG833:AJ833"/>
    <mergeCell ref="T736:W736"/>
    <mergeCell ref="AC748:AG748"/>
    <mergeCell ref="AC749:AG749"/>
    <mergeCell ref="AC745:AG745"/>
    <mergeCell ref="J777:N780"/>
    <mergeCell ref="AG831:AJ832"/>
    <mergeCell ref="AC805:AG805"/>
    <mergeCell ref="AC795:AG795"/>
    <mergeCell ref="AC761:AG761"/>
    <mergeCell ref="X802:AB802"/>
    <mergeCell ref="T784:W784"/>
    <mergeCell ref="T781:W781"/>
    <mergeCell ref="J781:N781"/>
    <mergeCell ref="G739:J739"/>
    <mergeCell ref="T795:W795"/>
    <mergeCell ref="T796:W796"/>
    <mergeCell ref="X760:AB760"/>
    <mergeCell ref="O761:S761"/>
    <mergeCell ref="AC750:AG750"/>
    <mergeCell ref="AC751:AG751"/>
    <mergeCell ref="AC752:AG752"/>
    <mergeCell ref="X785:AB785"/>
    <mergeCell ref="O759:S759"/>
    <mergeCell ref="B762:AH763"/>
    <mergeCell ref="B742:F742"/>
    <mergeCell ref="X797:AB797"/>
    <mergeCell ref="O781:S781"/>
    <mergeCell ref="J784:N784"/>
    <mergeCell ref="T782:W782"/>
    <mergeCell ref="J805:N805"/>
    <mergeCell ref="J803:N803"/>
    <mergeCell ref="X801:AB801"/>
    <mergeCell ref="B744:F744"/>
    <mergeCell ref="O753:S753"/>
    <mergeCell ref="T756:W756"/>
    <mergeCell ref="X755:AB755"/>
    <mergeCell ref="X754:AB754"/>
    <mergeCell ref="K760:N760"/>
    <mergeCell ref="AC785:AG785"/>
    <mergeCell ref="T750:W750"/>
    <mergeCell ref="X753:AB753"/>
    <mergeCell ref="AC747:AG747"/>
    <mergeCell ref="K742:N742"/>
    <mergeCell ref="AH748:AJ748"/>
    <mergeCell ref="G742:J742"/>
    <mergeCell ref="O743:S743"/>
    <mergeCell ref="AH758:AJ758"/>
    <mergeCell ref="B760:F760"/>
    <mergeCell ref="B759:F759"/>
    <mergeCell ref="B750:F750"/>
    <mergeCell ref="B751:F751"/>
    <mergeCell ref="O748:S74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K735:AO735"/>
    <mergeCell ref="AH732:AJ732"/>
    <mergeCell ref="AH760:AJ760"/>
    <mergeCell ref="AC782:AG782"/>
    <mergeCell ref="AH753:AJ753"/>
    <mergeCell ref="Z641:AB641"/>
    <mergeCell ref="K759:N759"/>
    <mergeCell ref="Z671:AE671"/>
    <mergeCell ref="Z651:AK651"/>
    <mergeCell ref="AK758:AO75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AG681:AH681"/>
    <mergeCell ref="H688:R688"/>
    <mergeCell ref="N681:O681"/>
    <mergeCell ref="G695:L695"/>
    <mergeCell ref="AH754:AJ754"/>
    <mergeCell ref="AH755:AJ755"/>
    <mergeCell ref="AH756:AJ756"/>
    <mergeCell ref="AH741:AJ741"/>
    <mergeCell ref="G661:R661"/>
    <mergeCell ref="AE704:AI704"/>
    <mergeCell ref="AG697:AH697"/>
    <mergeCell ref="AK752:AO752"/>
    <mergeCell ref="O741:S741"/>
    <mergeCell ref="G741:J741"/>
    <mergeCell ref="K738:N738"/>
    <mergeCell ref="M645:P645"/>
    <mergeCell ref="M646:P646"/>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B733:F733"/>
    <mergeCell ref="B732:F732"/>
    <mergeCell ref="B735:F735"/>
    <mergeCell ref="B731:F731"/>
    <mergeCell ref="W646:Y646"/>
    <mergeCell ref="Z662:AK662"/>
    <mergeCell ref="P655:R655"/>
    <mergeCell ref="AI655:AK655"/>
    <mergeCell ref="G662:R662"/>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613:L61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N379:Q379"/>
    <mergeCell ref="AH508:AK508"/>
    <mergeCell ref="H340:M340"/>
    <mergeCell ref="H350:R350"/>
    <mergeCell ref="H344:R344"/>
    <mergeCell ref="AA342:AK342"/>
    <mergeCell ref="H348:M348"/>
    <mergeCell ref="D477:V477"/>
    <mergeCell ref="AH535:AK535"/>
    <mergeCell ref="AA340:AF340"/>
    <mergeCell ref="AA341:AF341"/>
    <mergeCell ref="R421:S421"/>
    <mergeCell ref="Q438:R438"/>
    <mergeCell ref="D457:AF457"/>
    <mergeCell ref="AG454:AJ454"/>
    <mergeCell ref="H345:R345"/>
    <mergeCell ref="P356:Z356"/>
    <mergeCell ref="J395:U395"/>
    <mergeCell ref="T407:AJ407"/>
    <mergeCell ref="AG449:AJ449"/>
    <mergeCell ref="AA346:AK346"/>
    <mergeCell ref="H341:M341"/>
    <mergeCell ref="D452:AF452"/>
    <mergeCell ref="W479:Y479"/>
    <mergeCell ref="AC525:AF525"/>
    <mergeCell ref="AC512:AF512"/>
    <mergeCell ref="P358:AE358"/>
    <mergeCell ref="AC396:AJ396"/>
    <mergeCell ref="V397:AJ397"/>
    <mergeCell ref="AI398:AJ398"/>
    <mergeCell ref="N372:O372"/>
    <mergeCell ref="M503:P503"/>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M365:N365"/>
    <mergeCell ref="H307:R307"/>
    <mergeCell ref="H305:R305"/>
    <mergeCell ref="H306:R306"/>
    <mergeCell ref="AA329:AK329"/>
    <mergeCell ref="H326:R326"/>
    <mergeCell ref="P332:R332"/>
    <mergeCell ref="AA324:AF324"/>
    <mergeCell ref="Z441:AA441"/>
    <mergeCell ref="W476:Y476"/>
    <mergeCell ref="D459:AF459"/>
    <mergeCell ref="AA307:AK307"/>
    <mergeCell ref="AA301:AF301"/>
    <mergeCell ref="M262:T262"/>
    <mergeCell ref="L283:AJ283"/>
    <mergeCell ref="H298:R298"/>
    <mergeCell ref="H300:M300"/>
    <mergeCell ref="H308:M308"/>
    <mergeCell ref="H309:M309"/>
    <mergeCell ref="AA266:AK266"/>
    <mergeCell ref="M269:AE269"/>
    <mergeCell ref="AA274:AK274"/>
    <mergeCell ref="M270:T270"/>
    <mergeCell ref="H321:R321"/>
    <mergeCell ref="AI316:AK316"/>
    <mergeCell ref="H313:R313"/>
    <mergeCell ref="H312:R312"/>
    <mergeCell ref="H336:R336"/>
    <mergeCell ref="H315:R315"/>
    <mergeCell ref="AA313:AK313"/>
    <mergeCell ref="H323:R323"/>
    <mergeCell ref="H325:M325"/>
    <mergeCell ref="M263:AE263"/>
    <mergeCell ref="M272:R272"/>
    <mergeCell ref="M274:T274"/>
    <mergeCell ref="AA328:AK328"/>
    <mergeCell ref="H328:R328"/>
    <mergeCell ref="AA325:AF325"/>
    <mergeCell ref="AA332:AF332"/>
    <mergeCell ref="H329:R329"/>
    <mergeCell ref="H332:M332"/>
    <mergeCell ref="AA330:AK330"/>
    <mergeCell ref="H334:R334"/>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H304:R304"/>
    <mergeCell ref="AA308:AF308"/>
    <mergeCell ref="AI308:AK308"/>
    <mergeCell ref="AA309:AF309"/>
    <mergeCell ref="AA337:AK337"/>
    <mergeCell ref="P324:R324"/>
    <mergeCell ref="AA323:AK323"/>
    <mergeCell ref="AA322:AK322"/>
    <mergeCell ref="AA336:AK336"/>
    <mergeCell ref="H337:R337"/>
    <mergeCell ref="AI332:AK332"/>
    <mergeCell ref="AI324:AK324"/>
    <mergeCell ref="AA321:AK321"/>
    <mergeCell ref="AA338:AK338"/>
    <mergeCell ref="AI237:AJ237"/>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M247:T247"/>
    <mergeCell ref="T197:U197"/>
    <mergeCell ref="W262:X262"/>
    <mergeCell ref="M261:AE261"/>
    <mergeCell ref="AC262:AE262"/>
    <mergeCell ref="AH255:AK255"/>
    <mergeCell ref="M257:AE25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P113:S113"/>
    <mergeCell ref="AF252:AK252"/>
    <mergeCell ref="M243:T243"/>
    <mergeCell ref="F150:T150"/>
    <mergeCell ref="O160:T160"/>
    <mergeCell ref="AI178:AK178"/>
    <mergeCell ref="D204:M204"/>
    <mergeCell ref="Y120:AK120"/>
    <mergeCell ref="M246:AE246"/>
    <mergeCell ref="AA258:AK258"/>
    <mergeCell ref="D211:M211"/>
    <mergeCell ref="M265:AE265"/>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I185:AE185"/>
    <mergeCell ref="U245:W245"/>
    <mergeCell ref="T189:AE189"/>
    <mergeCell ref="R177:S177"/>
    <mergeCell ref="A86:AT87"/>
    <mergeCell ref="M256:R256"/>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299:AK299"/>
    <mergeCell ref="AH271:AK271"/>
    <mergeCell ref="T276:X276"/>
    <mergeCell ref="AA300:AF300"/>
    <mergeCell ref="AI300:AK300"/>
    <mergeCell ref="AA306:AK306"/>
    <mergeCell ref="H297:R297"/>
    <mergeCell ref="W270:X270"/>
    <mergeCell ref="U272:W272"/>
    <mergeCell ref="M266:T266"/>
    <mergeCell ref="N381:Q381"/>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W243:X243"/>
    <mergeCell ref="T212:U212"/>
    <mergeCell ref="M252:AE252"/>
    <mergeCell ref="AF260:AK260"/>
    <mergeCell ref="M253:AE253"/>
    <mergeCell ref="AI562:AL562"/>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AI401:AJ401"/>
    <mergeCell ref="AG388:AH388"/>
    <mergeCell ref="S401:U401"/>
    <mergeCell ref="AG399:AJ399"/>
    <mergeCell ref="Q400:U400"/>
    <mergeCell ref="D453:AF453"/>
    <mergeCell ref="M564:P564"/>
    <mergeCell ref="AI566:AL566"/>
    <mergeCell ref="S410:U410"/>
    <mergeCell ref="AG410:AJ410"/>
    <mergeCell ref="O537:AA537"/>
    <mergeCell ref="AH541:AK541"/>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AG403:AJ403"/>
    <mergeCell ref="J397:U397"/>
    <mergeCell ref="P427:R427"/>
    <mergeCell ref="AC543:AF543"/>
    <mergeCell ref="AE434:AF434"/>
    <mergeCell ref="AG447:AJ447"/>
    <mergeCell ref="B509:H510"/>
    <mergeCell ref="O531:AA531"/>
    <mergeCell ref="D458:AF458"/>
    <mergeCell ref="Q562:S562"/>
    <mergeCell ref="AC518:AF518"/>
    <mergeCell ref="AH522:AK522"/>
    <mergeCell ref="Q399:U399"/>
    <mergeCell ref="I419:AE419"/>
    <mergeCell ref="AG404:AJ404"/>
    <mergeCell ref="D481:V481"/>
    <mergeCell ref="D478:V478"/>
    <mergeCell ref="D447:AF447"/>
    <mergeCell ref="B528:H550"/>
    <mergeCell ref="Q495:AK495"/>
    <mergeCell ref="Q494:AK494"/>
    <mergeCell ref="AH510:AK510"/>
    <mergeCell ref="AC507:AK507"/>
    <mergeCell ref="B511:H516"/>
    <mergeCell ref="AC508:AF508"/>
    <mergeCell ref="AH540:AK540"/>
    <mergeCell ref="AC530:AF530"/>
    <mergeCell ref="T562:V562"/>
    <mergeCell ref="AC532:AF532"/>
    <mergeCell ref="AH514:AK514"/>
    <mergeCell ref="AH516:AK516"/>
    <mergeCell ref="AC548:AF548"/>
    <mergeCell ref="AC516:AF516"/>
    <mergeCell ref="D450:AF450"/>
    <mergeCell ref="AC528:AF528"/>
    <mergeCell ref="AC535:AF535"/>
    <mergeCell ref="AK751:AO751"/>
    <mergeCell ref="C564:L564"/>
    <mergeCell ref="O540:AA540"/>
    <mergeCell ref="AC517:AF517"/>
    <mergeCell ref="AC524:AF524"/>
    <mergeCell ref="AH517:AK517"/>
    <mergeCell ref="S411:U411"/>
    <mergeCell ref="P433:Q433"/>
    <mergeCell ref="CP736:CT736"/>
    <mergeCell ref="CP732:CT732"/>
    <mergeCell ref="CP735:CT735"/>
    <mergeCell ref="CP744:CT744"/>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N583:O583"/>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M728:CN728"/>
    <mergeCell ref="CI728:CJ728"/>
    <mergeCell ref="CM730:CN730"/>
    <mergeCell ref="CG730:CH730"/>
    <mergeCell ref="CG737:CH737"/>
    <mergeCell ref="CI738:CJ738"/>
    <mergeCell ref="CI739:CJ739"/>
    <mergeCell ref="CI736:CJ736"/>
    <mergeCell ref="CG742:CH742"/>
    <mergeCell ref="CI735:CJ735"/>
    <mergeCell ref="CI732:CJ732"/>
    <mergeCell ref="CK728:CL728"/>
    <mergeCell ref="Z565:AD565"/>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46:AF446"/>
    <mergeCell ref="D473:V473"/>
    <mergeCell ref="Z567:AD567"/>
    <mergeCell ref="Z570:AD570"/>
    <mergeCell ref="AE570:AH570"/>
    <mergeCell ref="W565:Y565"/>
    <mergeCell ref="AC534:AF534"/>
    <mergeCell ref="T567:V567"/>
    <mergeCell ref="T566:V566"/>
    <mergeCell ref="AC464:AF464"/>
    <mergeCell ref="D474:V474"/>
    <mergeCell ref="AE411:AJ411"/>
    <mergeCell ref="D455:AF455"/>
    <mergeCell ref="AE568:AH568"/>
    <mergeCell ref="H581:R581"/>
    <mergeCell ref="B574:AL574"/>
    <mergeCell ref="AM563:AS563"/>
    <mergeCell ref="AI565:AL565"/>
    <mergeCell ref="T732:W732"/>
    <mergeCell ref="AM559:AS561"/>
    <mergeCell ref="AH730:AJ730"/>
    <mergeCell ref="Z595:AK595"/>
    <mergeCell ref="AI580:AK580"/>
    <mergeCell ref="AH529:AK529"/>
    <mergeCell ref="AC538:AF538"/>
    <mergeCell ref="Q500:AK500"/>
    <mergeCell ref="M566:P566"/>
    <mergeCell ref="D449:AF449"/>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C509:AF509"/>
    <mergeCell ref="Q499:AK499"/>
    <mergeCell ref="AH503:AK503"/>
    <mergeCell ref="AH511:AK511"/>
    <mergeCell ref="T559:V561"/>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Q567:S567"/>
    <mergeCell ref="W481:Y481"/>
    <mergeCell ref="AC529:AF529"/>
    <mergeCell ref="AE564:AH564"/>
    <mergeCell ref="AE567:AH567"/>
    <mergeCell ref="AK642:AN642"/>
    <mergeCell ref="AK643:AN643"/>
    <mergeCell ref="AM565:AS565"/>
    <mergeCell ref="T573:V573"/>
    <mergeCell ref="AF638:AJ638"/>
    <mergeCell ref="AC513:AF513"/>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CK742:CL742"/>
    <mergeCell ref="Z578:AK578"/>
    <mergeCell ref="AI663:AK663"/>
    <mergeCell ref="DE740:DI740"/>
    <mergeCell ref="CU730:CY730"/>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DE735:DI735"/>
    <mergeCell ref="CZ749:DD749"/>
    <mergeCell ref="CU741:CY741"/>
    <mergeCell ref="CZ748:DD748"/>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AK740:AO740"/>
    <mergeCell ref="AK741:AO741"/>
    <mergeCell ref="AK742:AO742"/>
    <mergeCell ref="CI740:CJ740"/>
    <mergeCell ref="CG739:CH739"/>
    <mergeCell ref="CZ747:DD747"/>
    <mergeCell ref="AK743:AO743"/>
    <mergeCell ref="CI737:CJ737"/>
    <mergeCell ref="CG740:CH740"/>
    <mergeCell ref="DE737:DI737"/>
    <mergeCell ref="CU736:CY736"/>
    <mergeCell ref="CU738:CY738"/>
    <mergeCell ref="CI744:CJ744"/>
    <mergeCell ref="DE741:DI741"/>
    <mergeCell ref="CU743:CY743"/>
    <mergeCell ref="CP730:CT730"/>
    <mergeCell ref="CP726:CT726"/>
    <mergeCell ref="CI726:CJ726"/>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G756:CH756"/>
    <mergeCell ref="CP747:CT747"/>
    <mergeCell ref="CI748:CJ748"/>
    <mergeCell ref="CK741:CL741"/>
    <mergeCell ref="DE754:DI754"/>
    <mergeCell ref="CU751:CY751"/>
    <mergeCell ref="CI749:CJ749"/>
    <mergeCell ref="CU749:CY749"/>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CU795:CY795"/>
    <mergeCell ref="CK744:CL744"/>
    <mergeCell ref="CU750:CY750"/>
    <mergeCell ref="CM751:CN751"/>
    <mergeCell ref="CP748:CT748"/>
    <mergeCell ref="CM744:CN744"/>
    <mergeCell ref="CK759:CL759"/>
    <mergeCell ref="CP783:CT783"/>
    <mergeCell ref="CP784:CT784"/>
    <mergeCell ref="CP800:CT800"/>
    <mergeCell ref="CM761:CN76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6:DN796"/>
    <mergeCell ref="DJ797:DN797"/>
    <mergeCell ref="DE802:DI802"/>
    <mergeCell ref="DE799:DI799"/>
    <mergeCell ref="DE795:DI795"/>
    <mergeCell ref="DE796:DI796"/>
    <mergeCell ref="DE798:DI798"/>
    <mergeCell ref="CZ803:DD803"/>
    <mergeCell ref="DE785:DI785"/>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DE800:DI800"/>
    <mergeCell ref="CZ752:DD752"/>
    <mergeCell ref="CP805:CT805"/>
    <mergeCell ref="CZ750:DD750"/>
    <mergeCell ref="DE783:DI783"/>
    <mergeCell ref="DJ785:DN785"/>
    <mergeCell ref="CZ782:DD782"/>
    <mergeCell ref="CZ781:DD781"/>
    <mergeCell ref="DJ784:DN784"/>
    <mergeCell ref="DO784:DS784"/>
    <mergeCell ref="DO785:DS785"/>
    <mergeCell ref="DO783:DS783"/>
    <mergeCell ref="CU783:CY783"/>
    <mergeCell ref="CP803:CT803"/>
    <mergeCell ref="CP804:CT804"/>
    <mergeCell ref="CP801:CT801"/>
    <mergeCell ref="CK760:CL760"/>
    <mergeCell ref="CP755:CT755"/>
    <mergeCell ref="CZ785:DD785"/>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J798:DN798"/>
    <mergeCell ref="DJ799:DN799"/>
    <mergeCell ref="DJ800:DN800"/>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U798:DY798"/>
    <mergeCell ref="DU799:DY799"/>
    <mergeCell ref="DU800:DY800"/>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70" zoomScaleNormal="70" workbookViewId="0"/>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547</v>
      </c>
      <c r="B1" s="125"/>
      <c r="C1" s="125"/>
      <c r="D1" s="125"/>
      <c r="E1" s="126"/>
      <c r="F1" s="1873" t="s">
        <v>619</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372</v>
      </c>
      <c r="D2" s="138" t="s">
        <v>371</v>
      </c>
      <c r="E2" s="138" t="s">
        <v>24</v>
      </c>
      <c r="F2" s="139" t="str">
        <f>Application!B635&amp;Application!C635</f>
        <v>1)Freddie Mac / Berkadia</v>
      </c>
      <c r="G2" s="139" t="str">
        <f>Application!B636&amp;Application!C636</f>
        <v>2)Freddie Mac / Berkadia</v>
      </c>
      <c r="H2" s="139" t="str">
        <f>Application!B637&amp;Application!C637</f>
        <v>3)Freddie Mac / Berkadia</v>
      </c>
      <c r="I2" s="139" t="str">
        <f>Application!B638&amp;Application!C638</f>
        <v>4)Stifel, Nicolaus &amp; Company, Incorporated</v>
      </c>
      <c r="J2" s="139" t="str">
        <f>Application!B639&amp;Application!C639</f>
        <v>5)Cashflow From Operations</v>
      </c>
      <c r="K2" s="139" t="str">
        <f>Application!B640&amp;Application!C640</f>
        <v>6)Short-Term Bond Reinvestment Proceeds</v>
      </c>
      <c r="L2" s="139" t="str">
        <f>Application!B641&amp;Application!C641</f>
        <v>7)Deferred Developer Fee</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6700000</v>
      </c>
      <c r="C4" s="147">
        <v>6700000</v>
      </c>
      <c r="D4" s="147"/>
      <c r="E4" s="147">
        <f>+C4-SUM(F4:M4)</f>
        <v>6700000</v>
      </c>
      <c r="F4" s="147"/>
      <c r="G4" s="147"/>
      <c r="H4" s="147"/>
      <c r="I4" s="147"/>
      <c r="J4" s="147"/>
      <c r="K4" s="147"/>
      <c r="L4" s="147"/>
      <c r="M4" s="147"/>
      <c r="N4" s="147"/>
      <c r="O4" s="147"/>
      <c r="P4" s="147"/>
      <c r="Q4" s="147"/>
      <c r="R4" s="516">
        <f>SUM(E4:Q4)</f>
        <v>6700000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6700000</v>
      </c>
      <c r="C8" s="146">
        <f t="shared" ref="C8:Q8" si="0">SUM(C4:C7)</f>
        <v>6700000</v>
      </c>
      <c r="D8" s="146">
        <f t="shared" si="0"/>
        <v>0</v>
      </c>
      <c r="E8" s="146">
        <f t="shared" si="0"/>
        <v>6700000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6700000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6700000</v>
      </c>
      <c r="C12" s="146">
        <f t="shared" si="2"/>
        <v>6700000</v>
      </c>
      <c r="D12" s="146">
        <f t="shared" si="2"/>
        <v>0</v>
      </c>
      <c r="E12" s="146">
        <f t="shared" si="2"/>
        <v>6700000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6700000</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11231621</v>
      </c>
      <c r="C29" s="147">
        <v>11231621</v>
      </c>
      <c r="D29" s="147"/>
      <c r="E29" s="147">
        <f t="shared" ref="E29:E35" si="7">+C29-SUM(F29:M29)</f>
        <v>11231621</v>
      </c>
      <c r="F29" s="147"/>
      <c r="G29" s="147"/>
      <c r="H29" s="147"/>
      <c r="I29" s="147"/>
      <c r="J29" s="147"/>
      <c r="K29" s="147"/>
      <c r="L29" s="147"/>
      <c r="M29" s="147"/>
      <c r="N29" s="147"/>
      <c r="O29" s="147"/>
      <c r="P29" s="147"/>
      <c r="Q29" s="147"/>
      <c r="R29" s="516">
        <f t="shared" ref="R29:R37" si="8">SUM(E29:Q29)</f>
        <v>11231621</v>
      </c>
      <c r="S29" s="147">
        <f>+R29</f>
        <v>11231621</v>
      </c>
      <c r="T29" s="147"/>
      <c r="U29" s="143"/>
    </row>
    <row r="30" spans="1:21" s="144" customFormat="1">
      <c r="A30" s="145" t="s">
        <v>597</v>
      </c>
      <c r="B30" s="146">
        <f t="shared" si="6"/>
        <v>48000000</v>
      </c>
      <c r="C30" s="147">
        <v>48000000</v>
      </c>
      <c r="D30" s="147"/>
      <c r="E30" s="147">
        <f t="shared" si="7"/>
        <v>9248661</v>
      </c>
      <c r="F30" s="147">
        <v>30800000</v>
      </c>
      <c r="G30" s="147">
        <v>3000000</v>
      </c>
      <c r="H30" s="147">
        <v>4951339</v>
      </c>
      <c r="I30" s="147"/>
      <c r="J30" s="147"/>
      <c r="K30" s="147"/>
      <c r="L30" s="147"/>
      <c r="M30" s="147"/>
      <c r="N30" s="147"/>
      <c r="O30" s="147"/>
      <c r="P30" s="147"/>
      <c r="Q30" s="147"/>
      <c r="R30" s="516">
        <f t="shared" si="8"/>
        <v>48000000</v>
      </c>
      <c r="S30" s="147">
        <v>47683200</v>
      </c>
      <c r="T30" s="147"/>
      <c r="U30" s="143"/>
    </row>
    <row r="31" spans="1:21" s="144" customFormat="1">
      <c r="A31" s="145" t="s">
        <v>598</v>
      </c>
      <c r="B31" s="146">
        <f t="shared" si="6"/>
        <v>2400000</v>
      </c>
      <c r="C31" s="147">
        <v>2400000</v>
      </c>
      <c r="D31" s="147"/>
      <c r="E31" s="147">
        <f t="shared" si="7"/>
        <v>2400000</v>
      </c>
      <c r="F31" s="147"/>
      <c r="G31" s="147"/>
      <c r="H31" s="147"/>
      <c r="I31" s="147"/>
      <c r="J31" s="147"/>
      <c r="K31" s="147"/>
      <c r="L31" s="147"/>
      <c r="M31" s="147"/>
      <c r="N31" s="147"/>
      <c r="O31" s="147"/>
      <c r="P31" s="147"/>
      <c r="Q31" s="147"/>
      <c r="R31" s="516">
        <f t="shared" si="8"/>
        <v>2400000</v>
      </c>
      <c r="S31" s="147">
        <f t="shared" ref="S31:S36" si="9">+R31</f>
        <v>2400000</v>
      </c>
      <c r="T31" s="147"/>
      <c r="U31" s="143"/>
    </row>
    <row r="32" spans="1:21" s="144" customFormat="1">
      <c r="A32" s="145" t="s">
        <v>137</v>
      </c>
      <c r="B32" s="146">
        <f t="shared" si="6"/>
        <v>1200000</v>
      </c>
      <c r="C32" s="147">
        <v>1200000</v>
      </c>
      <c r="D32" s="147"/>
      <c r="E32" s="147">
        <f t="shared" si="7"/>
        <v>1200000</v>
      </c>
      <c r="F32" s="147"/>
      <c r="G32" s="147"/>
      <c r="H32" s="147"/>
      <c r="I32" s="147"/>
      <c r="J32" s="147"/>
      <c r="K32" s="147"/>
      <c r="L32" s="147"/>
      <c r="M32" s="147"/>
      <c r="N32" s="147"/>
      <c r="O32" s="147"/>
      <c r="P32" s="147"/>
      <c r="Q32" s="147"/>
      <c r="R32" s="516">
        <f t="shared" si="8"/>
        <v>1200000</v>
      </c>
      <c r="S32" s="147">
        <f t="shared" si="9"/>
        <v>1200000</v>
      </c>
      <c r="T32" s="147"/>
      <c r="U32" s="143"/>
    </row>
    <row r="33" spans="1:21" s="144" customFormat="1">
      <c r="A33" s="145" t="s">
        <v>138</v>
      </c>
      <c r="B33" s="146">
        <f t="shared" si="6"/>
        <v>2400000</v>
      </c>
      <c r="C33" s="147">
        <v>2400000</v>
      </c>
      <c r="D33" s="147"/>
      <c r="E33" s="147">
        <f t="shared" si="7"/>
        <v>2400000</v>
      </c>
      <c r="F33" s="147"/>
      <c r="G33" s="147"/>
      <c r="H33" s="147"/>
      <c r="I33" s="147"/>
      <c r="J33" s="147"/>
      <c r="K33" s="147"/>
      <c r="L33" s="147"/>
      <c r="M33" s="147"/>
      <c r="N33" s="147"/>
      <c r="O33" s="147"/>
      <c r="P33" s="147"/>
      <c r="Q33" s="147"/>
      <c r="R33" s="516">
        <f t="shared" si="8"/>
        <v>2400000</v>
      </c>
      <c r="S33" s="147">
        <f t="shared" si="9"/>
        <v>2400000</v>
      </c>
      <c r="T33" s="147"/>
      <c r="U33" s="143"/>
    </row>
    <row r="34" spans="1:21" s="144" customFormat="1">
      <c r="A34" s="145" t="s">
        <v>139</v>
      </c>
      <c r="B34" s="146">
        <f t="shared" si="6"/>
        <v>0</v>
      </c>
      <c r="C34" s="147">
        <v>0</v>
      </c>
      <c r="D34" s="147"/>
      <c r="E34" s="147"/>
      <c r="F34" s="147"/>
      <c r="G34" s="147"/>
      <c r="H34" s="147"/>
      <c r="I34" s="147"/>
      <c r="J34" s="147"/>
      <c r="K34" s="147"/>
      <c r="L34" s="147"/>
      <c r="M34" s="147"/>
      <c r="N34" s="147"/>
      <c r="O34" s="147"/>
      <c r="P34" s="147"/>
      <c r="Q34" s="147"/>
      <c r="R34" s="516">
        <f t="shared" si="8"/>
        <v>0</v>
      </c>
      <c r="S34" s="147">
        <f t="shared" si="9"/>
        <v>0</v>
      </c>
      <c r="T34" s="147"/>
      <c r="U34" s="143"/>
    </row>
    <row r="35" spans="1:21" s="144" customFormat="1">
      <c r="A35" s="145" t="s">
        <v>140</v>
      </c>
      <c r="B35" s="146">
        <f t="shared" si="6"/>
        <v>768379</v>
      </c>
      <c r="C35" s="147">
        <v>768379</v>
      </c>
      <c r="D35" s="147"/>
      <c r="E35" s="147">
        <f t="shared" si="7"/>
        <v>768379</v>
      </c>
      <c r="F35" s="147"/>
      <c r="G35" s="147"/>
      <c r="H35" s="147"/>
      <c r="I35" s="147"/>
      <c r="J35" s="147"/>
      <c r="K35" s="147"/>
      <c r="L35" s="147"/>
      <c r="M35" s="147"/>
      <c r="N35" s="147"/>
      <c r="O35" s="147"/>
      <c r="P35" s="147"/>
      <c r="Q35" s="147"/>
      <c r="R35" s="516">
        <f t="shared" si="8"/>
        <v>768379</v>
      </c>
      <c r="S35" s="147">
        <f t="shared" si="9"/>
        <v>768379</v>
      </c>
      <c r="T35" s="147"/>
      <c r="U35" s="143"/>
    </row>
    <row r="36" spans="1:21" s="144" customFormat="1">
      <c r="A36" s="283" t="s">
        <v>1627</v>
      </c>
      <c r="B36" s="146">
        <f t="shared" si="6"/>
        <v>0</v>
      </c>
      <c r="C36" s="147">
        <v>0</v>
      </c>
      <c r="D36" s="147"/>
      <c r="E36" s="147"/>
      <c r="F36" s="147"/>
      <c r="G36" s="147"/>
      <c r="H36" s="147"/>
      <c r="I36" s="147"/>
      <c r="J36" s="147"/>
      <c r="K36" s="147"/>
      <c r="L36" s="147"/>
      <c r="M36" s="147"/>
      <c r="N36" s="147"/>
      <c r="O36" s="147"/>
      <c r="P36" s="147"/>
      <c r="Q36" s="147"/>
      <c r="R36" s="516">
        <f t="shared" si="8"/>
        <v>0</v>
      </c>
      <c r="S36" s="147">
        <f t="shared" si="9"/>
        <v>0</v>
      </c>
      <c r="T36" s="147"/>
      <c r="U36" s="143"/>
    </row>
    <row r="37" spans="1:21" s="144" customFormat="1">
      <c r="A37" s="1143" t="s">
        <v>2645</v>
      </c>
      <c r="B37" s="146">
        <f t="shared" si="6"/>
        <v>878400</v>
      </c>
      <c r="C37" s="147">
        <v>878400</v>
      </c>
      <c r="D37" s="147"/>
      <c r="E37" s="147">
        <f>+C37-SUM(F37:M37)</f>
        <v>878400</v>
      </c>
      <c r="F37" s="147"/>
      <c r="G37" s="147"/>
      <c r="H37" s="147"/>
      <c r="I37" s="147"/>
      <c r="J37" s="147"/>
      <c r="K37" s="147"/>
      <c r="L37" s="147"/>
      <c r="M37" s="147"/>
      <c r="N37" s="147"/>
      <c r="O37" s="147"/>
      <c r="P37" s="147"/>
      <c r="Q37" s="147"/>
      <c r="R37" s="516">
        <f t="shared" si="8"/>
        <v>878400</v>
      </c>
      <c r="S37" s="147">
        <v>561600</v>
      </c>
      <c r="T37" s="147"/>
      <c r="U37" s="143"/>
    </row>
    <row r="38" spans="1:21" s="144" customFormat="1">
      <c r="A38" s="149" t="s">
        <v>143</v>
      </c>
      <c r="B38" s="146">
        <f t="shared" si="6"/>
        <v>66878400</v>
      </c>
      <c r="C38" s="146">
        <f>SUM(C29:C37)</f>
        <v>66878400</v>
      </c>
      <c r="D38" s="146">
        <f t="shared" ref="D38:Q38" si="10">SUM(D29:D37)</f>
        <v>0</v>
      </c>
      <c r="E38" s="146">
        <f t="shared" si="10"/>
        <v>28127061</v>
      </c>
      <c r="F38" s="146">
        <f t="shared" si="10"/>
        <v>30800000</v>
      </c>
      <c r="G38" s="146">
        <f t="shared" si="10"/>
        <v>3000000</v>
      </c>
      <c r="H38" s="146">
        <f t="shared" si="10"/>
        <v>4951339</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66878400</v>
      </c>
      <c r="S38" s="150">
        <f>SUM(S29:S37)</f>
        <v>66244800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1000000</v>
      </c>
      <c r="C40" s="147">
        <v>1000000</v>
      </c>
      <c r="D40" s="147"/>
      <c r="E40" s="147">
        <f t="shared" ref="E40:E41" si="11">+C40-SUM(F40:M40)</f>
        <v>1000000</v>
      </c>
      <c r="F40" s="147"/>
      <c r="G40" s="147"/>
      <c r="H40" s="147"/>
      <c r="I40" s="147"/>
      <c r="J40" s="147"/>
      <c r="K40" s="147"/>
      <c r="L40" s="147"/>
      <c r="M40" s="147"/>
      <c r="N40" s="147"/>
      <c r="O40" s="147"/>
      <c r="P40" s="147"/>
      <c r="Q40" s="147"/>
      <c r="R40" s="516">
        <f>SUM(E40:Q40)</f>
        <v>1000000</v>
      </c>
      <c r="S40" s="147">
        <v>1000000</v>
      </c>
      <c r="T40" s="147"/>
      <c r="U40" s="143"/>
    </row>
    <row r="41" spans="1:21" s="144" customFormat="1">
      <c r="A41" s="145" t="s">
        <v>146</v>
      </c>
      <c r="B41" s="146">
        <f>SUM(C41+D41)</f>
        <v>125000</v>
      </c>
      <c r="C41" s="147">
        <v>125000</v>
      </c>
      <c r="D41" s="147"/>
      <c r="E41" s="147">
        <f t="shared" si="11"/>
        <v>125000</v>
      </c>
      <c r="F41" s="147"/>
      <c r="G41" s="147"/>
      <c r="H41" s="147"/>
      <c r="I41" s="147"/>
      <c r="J41" s="147"/>
      <c r="K41" s="147"/>
      <c r="L41" s="147"/>
      <c r="M41" s="147"/>
      <c r="N41" s="147"/>
      <c r="O41" s="147"/>
      <c r="P41" s="147"/>
      <c r="Q41" s="147"/>
      <c r="R41" s="516">
        <f>SUM(E41:Q41)</f>
        <v>125000</v>
      </c>
      <c r="S41" s="147">
        <v>125000</v>
      </c>
      <c r="T41" s="147"/>
      <c r="U41" s="143"/>
    </row>
    <row r="42" spans="1:21" s="144" customFormat="1">
      <c r="A42" s="149" t="s">
        <v>147</v>
      </c>
      <c r="B42" s="146">
        <f>SUM(C42:D42)</f>
        <v>1125000</v>
      </c>
      <c r="C42" s="146">
        <f>SUM(C39:C41)</f>
        <v>1125000</v>
      </c>
      <c r="D42" s="146">
        <f>SUM(D39:D41)</f>
        <v>0</v>
      </c>
      <c r="E42" s="146">
        <f t="shared" ref="E42:T42" si="12">SUM(E40:E41)</f>
        <v>1125000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1125000</v>
      </c>
      <c r="S42" s="150">
        <f t="shared" si="12"/>
        <v>1125000</v>
      </c>
      <c r="T42" s="150">
        <f t="shared" si="12"/>
        <v>0</v>
      </c>
      <c r="U42" s="143"/>
    </row>
    <row r="43" spans="1:21" s="144" customFormat="1">
      <c r="A43" s="149" t="s">
        <v>148</v>
      </c>
      <c r="B43" s="146">
        <f>SUM(C43:D43)</f>
        <v>365000</v>
      </c>
      <c r="C43" s="147">
        <v>365000</v>
      </c>
      <c r="D43" s="147"/>
      <c r="E43" s="147">
        <f>+C43-SUM(F43:M43)</f>
        <v>365000</v>
      </c>
      <c r="F43" s="147"/>
      <c r="G43" s="147"/>
      <c r="H43" s="147"/>
      <c r="I43" s="147"/>
      <c r="J43" s="147"/>
      <c r="K43" s="147"/>
      <c r="L43" s="147"/>
      <c r="M43" s="147"/>
      <c r="N43" s="147"/>
      <c r="O43" s="147"/>
      <c r="P43" s="147"/>
      <c r="Q43" s="147"/>
      <c r="R43" s="516">
        <f>SUM(E43:Q43)</f>
        <v>365000</v>
      </c>
      <c r="S43" s="147">
        <v>365000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9372987</v>
      </c>
      <c r="C45" s="147">
        <v>9372987</v>
      </c>
      <c r="D45" s="147"/>
      <c r="E45" s="147">
        <f t="shared" ref="E45:E52" si="14">+C45-SUM(F45:M45)</f>
        <v>9372987</v>
      </c>
      <c r="F45" s="147"/>
      <c r="G45" s="147"/>
      <c r="H45" s="147"/>
      <c r="I45" s="147"/>
      <c r="J45" s="147"/>
      <c r="K45" s="147"/>
      <c r="L45" s="147"/>
      <c r="M45" s="147"/>
      <c r="N45" s="147"/>
      <c r="O45" s="147"/>
      <c r="P45" s="147"/>
      <c r="Q45" s="147"/>
      <c r="R45" s="516">
        <f t="shared" ref="R45:R53" si="15">SUM(E45:Q45)</f>
        <v>9372987</v>
      </c>
      <c r="S45" s="147">
        <v>7293121.54710472</v>
      </c>
      <c r="T45" s="147"/>
      <c r="U45" s="143"/>
    </row>
    <row r="46" spans="1:21" s="144" customFormat="1">
      <c r="A46" s="145" t="s">
        <v>151</v>
      </c>
      <c r="B46" s="146">
        <f t="shared" si="13"/>
        <v>832893</v>
      </c>
      <c r="C46" s="147">
        <v>832893</v>
      </c>
      <c r="D46" s="147"/>
      <c r="E46" s="147">
        <f t="shared" si="14"/>
        <v>832893</v>
      </c>
      <c r="F46" s="147"/>
      <c r="G46" s="147"/>
      <c r="H46" s="147"/>
      <c r="I46" s="147"/>
      <c r="J46" s="147"/>
      <c r="K46" s="147"/>
      <c r="L46" s="147"/>
      <c r="M46" s="147"/>
      <c r="N46" s="147"/>
      <c r="O46" s="147"/>
      <c r="P46" s="147"/>
      <c r="Q46" s="147"/>
      <c r="R46" s="516">
        <f t="shared" si="15"/>
        <v>832893</v>
      </c>
      <c r="S46" s="147">
        <v>832893</v>
      </c>
      <c r="T46" s="147"/>
      <c r="U46" s="143"/>
    </row>
    <row r="47" spans="1:21" s="144" customFormat="1">
      <c r="A47" s="186" t="s">
        <v>152</v>
      </c>
      <c r="B47" s="146">
        <f t="shared" si="13"/>
        <v>0</v>
      </c>
      <c r="C47" s="147"/>
      <c r="D47" s="147"/>
      <c r="E47" s="147">
        <f t="shared" si="14"/>
        <v>0</v>
      </c>
      <c r="F47" s="147"/>
      <c r="G47" s="147"/>
      <c r="H47" s="147"/>
      <c r="I47" s="147"/>
      <c r="J47" s="147"/>
      <c r="K47" s="147"/>
      <c r="L47" s="147"/>
      <c r="M47" s="147"/>
      <c r="N47" s="147"/>
      <c r="O47" s="147"/>
      <c r="P47" s="147"/>
      <c r="Q47" s="147"/>
      <c r="R47" s="516">
        <f t="shared" si="15"/>
        <v>0</v>
      </c>
      <c r="S47" s="147">
        <v>0</v>
      </c>
      <c r="T47" s="147"/>
      <c r="U47" s="143"/>
    </row>
    <row r="48" spans="1:21" s="144" customFormat="1">
      <c r="A48" s="145" t="s">
        <v>153</v>
      </c>
      <c r="B48" s="146">
        <f t="shared" si="13"/>
        <v>2587200.0000000005</v>
      </c>
      <c r="C48" s="147">
        <v>2587200.0000000005</v>
      </c>
      <c r="D48" s="147"/>
      <c r="E48" s="147">
        <f t="shared" si="14"/>
        <v>0</v>
      </c>
      <c r="F48" s="147"/>
      <c r="G48" s="147"/>
      <c r="H48" s="147"/>
      <c r="I48" s="147"/>
      <c r="J48" s="147"/>
      <c r="K48" s="147">
        <f>+ROUND(B48,0)</f>
        <v>2587200</v>
      </c>
      <c r="L48" s="147"/>
      <c r="M48" s="147"/>
      <c r="N48" s="147"/>
      <c r="O48" s="147"/>
      <c r="P48" s="147"/>
      <c r="Q48" s="147"/>
      <c r="R48" s="516">
        <f t="shared" si="15"/>
        <v>2587200</v>
      </c>
      <c r="S48" s="147">
        <v>1724800.0000000002</v>
      </c>
      <c r="T48" s="147"/>
      <c r="U48" s="143"/>
    </row>
    <row r="49" spans="1:21" s="144" customFormat="1">
      <c r="A49" s="145" t="s">
        <v>57</v>
      </c>
      <c r="B49" s="146">
        <f t="shared" si="13"/>
        <v>608380</v>
      </c>
      <c r="C49" s="147">
        <v>608380</v>
      </c>
      <c r="D49" s="147"/>
      <c r="E49" s="147">
        <f t="shared" si="14"/>
        <v>608380</v>
      </c>
      <c r="F49" s="147"/>
      <c r="G49" s="147"/>
      <c r="H49" s="147"/>
      <c r="I49" s="147"/>
      <c r="J49" s="147"/>
      <c r="K49" s="147"/>
      <c r="L49" s="147"/>
      <c r="M49" s="147"/>
      <c r="N49" s="147"/>
      <c r="O49" s="147"/>
      <c r="P49" s="147"/>
      <c r="Q49" s="147"/>
      <c r="R49" s="516">
        <f t="shared" si="15"/>
        <v>608380</v>
      </c>
      <c r="S49" s="147">
        <v>608380</v>
      </c>
      <c r="T49" s="147"/>
      <c r="U49" s="143"/>
    </row>
    <row r="50" spans="1:21" s="144" customFormat="1">
      <c r="A50" s="145" t="s">
        <v>156</v>
      </c>
      <c r="B50" s="146">
        <f t="shared" si="13"/>
        <v>176878</v>
      </c>
      <c r="C50" s="147">
        <v>176878</v>
      </c>
      <c r="D50" s="147"/>
      <c r="E50" s="147">
        <f t="shared" si="14"/>
        <v>176878</v>
      </c>
      <c r="F50" s="147"/>
      <c r="G50" s="147"/>
      <c r="H50" s="147"/>
      <c r="I50" s="147"/>
      <c r="J50" s="147"/>
      <c r="K50" s="147"/>
      <c r="L50" s="147"/>
      <c r="M50" s="147"/>
      <c r="N50" s="147"/>
      <c r="O50" s="147"/>
      <c r="P50" s="147"/>
      <c r="Q50" s="147"/>
      <c r="R50" s="516">
        <f t="shared" si="15"/>
        <v>176878</v>
      </c>
      <c r="S50" s="147">
        <v>0</v>
      </c>
      <c r="T50" s="147"/>
      <c r="U50" s="143"/>
    </row>
    <row r="51" spans="1:21" s="144" customFormat="1">
      <c r="A51" s="283" t="s">
        <v>154</v>
      </c>
      <c r="B51" s="146">
        <f t="shared" si="13"/>
        <v>82140</v>
      </c>
      <c r="C51" s="147">
        <v>82140</v>
      </c>
      <c r="D51" s="147"/>
      <c r="E51" s="147">
        <f t="shared" si="14"/>
        <v>82140</v>
      </c>
      <c r="F51" s="147"/>
      <c r="G51" s="147"/>
      <c r="H51" s="147"/>
      <c r="I51" s="147"/>
      <c r="J51" s="147"/>
      <c r="K51" s="147"/>
      <c r="L51" s="147"/>
      <c r="M51" s="147"/>
      <c r="N51" s="147"/>
      <c r="O51" s="147"/>
      <c r="P51" s="147"/>
      <c r="Q51" s="147"/>
      <c r="R51" s="516">
        <f t="shared" si="15"/>
        <v>82140</v>
      </c>
      <c r="S51" s="147">
        <v>0</v>
      </c>
      <c r="T51" s="147"/>
      <c r="U51" s="143"/>
    </row>
    <row r="52" spans="1:21" s="144" customFormat="1">
      <c r="A52" s="145" t="s">
        <v>155</v>
      </c>
      <c r="B52" s="146">
        <f t="shared" si="13"/>
        <v>660000</v>
      </c>
      <c r="C52" s="147">
        <v>660000</v>
      </c>
      <c r="D52" s="147"/>
      <c r="E52" s="147">
        <f t="shared" si="14"/>
        <v>660000</v>
      </c>
      <c r="F52" s="147"/>
      <c r="G52" s="147"/>
      <c r="H52" s="147"/>
      <c r="I52" s="147"/>
      <c r="J52" s="147"/>
      <c r="K52" s="147"/>
      <c r="L52" s="147"/>
      <c r="M52" s="147"/>
      <c r="N52" s="147"/>
      <c r="O52" s="147"/>
      <c r="P52" s="147"/>
      <c r="Q52" s="147"/>
      <c r="R52" s="516">
        <f t="shared" si="15"/>
        <v>660000</v>
      </c>
      <c r="S52" s="147">
        <v>660000</v>
      </c>
      <c r="T52" s="147"/>
      <c r="U52" s="143"/>
    </row>
    <row r="53" spans="1:21" s="144" customFormat="1">
      <c r="A53" s="1143" t="s">
        <v>34</v>
      </c>
      <c r="B53" s="146">
        <f t="shared" si="13"/>
        <v>0</v>
      </c>
      <c r="C53" s="147">
        <v>0</v>
      </c>
      <c r="D53" s="147"/>
      <c r="E53" s="147"/>
      <c r="F53" s="147"/>
      <c r="G53" s="147"/>
      <c r="H53" s="147"/>
      <c r="I53" s="147"/>
      <c r="J53" s="147"/>
      <c r="K53" s="147"/>
      <c r="L53" s="147"/>
      <c r="M53" s="147"/>
      <c r="N53" s="147"/>
      <c r="O53" s="147"/>
      <c r="P53" s="147"/>
      <c r="Q53" s="147"/>
      <c r="R53" s="516">
        <f t="shared" si="15"/>
        <v>0</v>
      </c>
      <c r="S53" s="147"/>
      <c r="T53" s="147"/>
      <c r="U53" s="143"/>
    </row>
    <row r="54" spans="1:21" s="153" customFormat="1">
      <c r="A54" s="149" t="s">
        <v>157</v>
      </c>
      <c r="B54" s="150">
        <f>SUM(C54:D54)</f>
        <v>14320478</v>
      </c>
      <c r="C54" s="150">
        <f t="shared" ref="C54:T54" si="16">SUM(C45:C53)</f>
        <v>14320478</v>
      </c>
      <c r="D54" s="150">
        <f t="shared" si="16"/>
        <v>0</v>
      </c>
      <c r="E54" s="150">
        <f t="shared" si="16"/>
        <v>11733278</v>
      </c>
      <c r="F54" s="150">
        <f t="shared" si="16"/>
        <v>0</v>
      </c>
      <c r="G54" s="150">
        <f t="shared" si="16"/>
        <v>0</v>
      </c>
      <c r="H54" s="150">
        <f t="shared" si="16"/>
        <v>0</v>
      </c>
      <c r="I54" s="150">
        <f t="shared" si="16"/>
        <v>0</v>
      </c>
      <c r="J54" s="150">
        <f t="shared" si="16"/>
        <v>0</v>
      </c>
      <c r="K54" s="150">
        <f t="shared" si="16"/>
        <v>2587200</v>
      </c>
      <c r="L54" s="150">
        <f t="shared" si="16"/>
        <v>0</v>
      </c>
      <c r="M54" s="150">
        <f t="shared" si="16"/>
        <v>0</v>
      </c>
      <c r="N54" s="150">
        <f t="shared" si="16"/>
        <v>0</v>
      </c>
      <c r="O54" s="150">
        <f t="shared" si="16"/>
        <v>0</v>
      </c>
      <c r="P54" s="150">
        <f t="shared" si="16"/>
        <v>0</v>
      </c>
      <c r="Q54" s="150">
        <f t="shared" si="16"/>
        <v>0</v>
      </c>
      <c r="R54" s="342">
        <f t="shared" si="16"/>
        <v>14320478</v>
      </c>
      <c r="S54" s="150">
        <f t="shared" si="16"/>
        <v>11119194.54710472</v>
      </c>
      <c r="T54" s="150">
        <f t="shared" si="16"/>
        <v>0</v>
      </c>
      <c r="U54" s="152"/>
    </row>
    <row r="55" spans="1:21" s="144" customFormat="1">
      <c r="A55" s="141" t="s">
        <v>416</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387513</v>
      </c>
      <c r="C56" s="147">
        <v>387513</v>
      </c>
      <c r="D56" s="147"/>
      <c r="E56" s="147">
        <f>+C56-SUM(F56:M56)</f>
        <v>387513</v>
      </c>
      <c r="F56" s="147"/>
      <c r="G56" s="147"/>
      <c r="H56" s="147"/>
      <c r="I56" s="147"/>
      <c r="J56" s="147"/>
      <c r="K56" s="147"/>
      <c r="L56" s="147"/>
      <c r="M56" s="147"/>
      <c r="N56" s="147"/>
      <c r="O56" s="147"/>
      <c r="P56" s="147"/>
      <c r="Q56" s="147"/>
      <c r="R56" s="516">
        <f t="shared" ref="R56:R61" si="18">SUM(E56:Q56)</f>
        <v>387513</v>
      </c>
      <c r="S56" s="148"/>
      <c r="T56" s="148"/>
      <c r="U56" s="143"/>
    </row>
    <row r="57" spans="1:21" s="192" customFormat="1">
      <c r="A57" s="186" t="s">
        <v>152</v>
      </c>
      <c r="B57" s="193">
        <f t="shared" si="17"/>
        <v>10000</v>
      </c>
      <c r="C57" s="190">
        <v>10000</v>
      </c>
      <c r="D57" s="190"/>
      <c r="E57" s="190">
        <f t="shared" ref="E57" si="19">+C57-SUM(F57:M57)</f>
        <v>10000</v>
      </c>
      <c r="F57" s="190"/>
      <c r="G57" s="190"/>
      <c r="H57" s="190"/>
      <c r="I57" s="190"/>
      <c r="J57" s="190"/>
      <c r="K57" s="190"/>
      <c r="L57" s="190"/>
      <c r="M57" s="190"/>
      <c r="N57" s="190"/>
      <c r="O57" s="190"/>
      <c r="P57" s="190"/>
      <c r="Q57" s="190"/>
      <c r="R57" s="516">
        <f t="shared" si="18"/>
        <v>10000</v>
      </c>
      <c r="S57" s="194"/>
      <c r="T57" s="194"/>
      <c r="U57" s="191"/>
    </row>
    <row r="58" spans="1:21" s="144" customFormat="1">
      <c r="A58" s="145" t="s">
        <v>156</v>
      </c>
      <c r="B58" s="146">
        <f t="shared" si="17"/>
        <v>0</v>
      </c>
      <c r="C58" s="147"/>
      <c r="D58" s="147"/>
      <c r="E58" s="147"/>
      <c r="F58" s="147"/>
      <c r="G58" s="147"/>
      <c r="H58" s="147"/>
      <c r="I58" s="147"/>
      <c r="J58" s="147"/>
      <c r="K58" s="147"/>
      <c r="L58" s="147"/>
      <c r="M58" s="147"/>
      <c r="N58" s="147"/>
      <c r="O58" s="147"/>
      <c r="P58" s="147"/>
      <c r="Q58" s="147"/>
      <c r="R58" s="516">
        <f t="shared" si="18"/>
        <v>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3" t="s">
        <v>34</v>
      </c>
      <c r="B61" s="146">
        <f t="shared" si="17"/>
        <v>0</v>
      </c>
      <c r="C61" s="147">
        <v>0</v>
      </c>
      <c r="D61" s="147"/>
      <c r="E61" s="147"/>
      <c r="F61" s="147"/>
      <c r="G61" s="147"/>
      <c r="H61" s="147"/>
      <c r="I61" s="147"/>
      <c r="J61" s="147"/>
      <c r="K61" s="147"/>
      <c r="L61" s="147"/>
      <c r="M61" s="147"/>
      <c r="N61" s="147"/>
      <c r="O61" s="147"/>
      <c r="P61" s="147"/>
      <c r="Q61" s="147"/>
      <c r="R61" s="516">
        <f t="shared" si="18"/>
        <v>0</v>
      </c>
      <c r="S61" s="148"/>
      <c r="T61" s="148"/>
      <c r="U61" s="143"/>
    </row>
    <row r="62" spans="1:21" s="144" customFormat="1" ht="13.7" customHeight="1">
      <c r="A62" s="149" t="s">
        <v>300</v>
      </c>
      <c r="B62" s="146">
        <f>SUM(C62:D62)</f>
        <v>397513</v>
      </c>
      <c r="C62" s="146">
        <f t="shared" ref="C62:R62" si="20">SUM(C56:C61)</f>
        <v>397513</v>
      </c>
      <c r="D62" s="146">
        <f t="shared" si="20"/>
        <v>0</v>
      </c>
      <c r="E62" s="146">
        <f t="shared" si="20"/>
        <v>397513</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397513</v>
      </c>
      <c r="S62" s="148"/>
      <c r="T62" s="148"/>
      <c r="U62" s="143"/>
    </row>
    <row r="63" spans="1:21" s="144" customFormat="1">
      <c r="A63" s="154" t="s">
        <v>301</v>
      </c>
      <c r="B63" s="146">
        <f t="shared" ref="B63:R63" si="21">SUM(B8+B11+B13+B14+B15+B26+B27+B38+B42+B43+B54+B62)</f>
        <v>89786391</v>
      </c>
      <c r="C63" s="146">
        <f t="shared" si="21"/>
        <v>89786391</v>
      </c>
      <c r="D63" s="146">
        <f t="shared" si="21"/>
        <v>0</v>
      </c>
      <c r="E63" s="146">
        <f t="shared" si="21"/>
        <v>48447852</v>
      </c>
      <c r="F63" s="146">
        <f t="shared" si="21"/>
        <v>30800000</v>
      </c>
      <c r="G63" s="146">
        <f t="shared" si="21"/>
        <v>3000000</v>
      </c>
      <c r="H63" s="146">
        <f t="shared" si="21"/>
        <v>4951339</v>
      </c>
      <c r="I63" s="146">
        <f t="shared" si="21"/>
        <v>0</v>
      </c>
      <c r="J63" s="146">
        <f t="shared" si="21"/>
        <v>0</v>
      </c>
      <c r="K63" s="146">
        <f t="shared" si="21"/>
        <v>2587200</v>
      </c>
      <c r="L63" s="146">
        <f t="shared" si="21"/>
        <v>0</v>
      </c>
      <c r="M63" s="146">
        <f t="shared" si="21"/>
        <v>0</v>
      </c>
      <c r="N63" s="146">
        <f t="shared" si="21"/>
        <v>0</v>
      </c>
      <c r="O63" s="146">
        <f t="shared" si="21"/>
        <v>0</v>
      </c>
      <c r="P63" s="146">
        <f t="shared" si="21"/>
        <v>0</v>
      </c>
      <c r="Q63" s="146">
        <f t="shared" si="21"/>
        <v>0</v>
      </c>
      <c r="R63" s="342">
        <f t="shared" si="21"/>
        <v>89786391</v>
      </c>
      <c r="S63" s="146">
        <f>SUM(S10+S13+S14+S15+S26+S27+S38+S42+S43+S54)</f>
        <v>78853994.547104716</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15000</v>
      </c>
      <c r="C65" s="147">
        <v>15000</v>
      </c>
      <c r="D65" s="147"/>
      <c r="E65" s="147">
        <f>+C65-SUM(F65:M65)</f>
        <v>15000</v>
      </c>
      <c r="F65" s="147"/>
      <c r="G65" s="147"/>
      <c r="H65" s="147"/>
      <c r="I65" s="147"/>
      <c r="J65" s="147"/>
      <c r="K65" s="147"/>
      <c r="L65" s="147"/>
      <c r="M65" s="147"/>
      <c r="N65" s="147"/>
      <c r="O65" s="147"/>
      <c r="P65" s="147"/>
      <c r="Q65" s="147"/>
      <c r="R65" s="516">
        <f>SUM(E65:Q65)</f>
        <v>15000</v>
      </c>
      <c r="S65" s="147">
        <v>15000</v>
      </c>
      <c r="T65" s="147"/>
      <c r="U65" s="143"/>
    </row>
    <row r="66" spans="1:21" s="144" customFormat="1" ht="24" customHeight="1">
      <c r="A66" s="283" t="s">
        <v>1628</v>
      </c>
      <c r="B66" s="146">
        <f>SUM(C66+D66)</f>
        <v>0</v>
      </c>
      <c r="C66" s="147">
        <v>0</v>
      </c>
      <c r="D66" s="147"/>
      <c r="E66" s="147"/>
      <c r="F66" s="147"/>
      <c r="G66" s="147"/>
      <c r="H66" s="147"/>
      <c r="I66" s="147"/>
      <c r="J66" s="147"/>
      <c r="K66" s="147"/>
      <c r="L66" s="147"/>
      <c r="M66" s="147"/>
      <c r="N66" s="147"/>
      <c r="O66" s="147"/>
      <c r="P66" s="147"/>
      <c r="Q66" s="147"/>
      <c r="R66" s="516">
        <f>SUM(E66:Q66)</f>
        <v>0</v>
      </c>
      <c r="S66" s="147">
        <v>0</v>
      </c>
      <c r="T66" s="147"/>
      <c r="U66" s="143"/>
    </row>
    <row r="67" spans="1:21" s="144" customFormat="1" ht="24" customHeight="1">
      <c r="A67" s="283" t="s">
        <v>1629</v>
      </c>
      <c r="B67" s="146">
        <f>SUM(C67+D67)</f>
        <v>0</v>
      </c>
      <c r="C67" s="147">
        <v>0</v>
      </c>
      <c r="D67" s="147"/>
      <c r="E67" s="147"/>
      <c r="F67" s="147"/>
      <c r="G67" s="147"/>
      <c r="H67" s="147"/>
      <c r="I67" s="147"/>
      <c r="J67" s="147"/>
      <c r="K67" s="147"/>
      <c r="L67" s="147"/>
      <c r="M67" s="147"/>
      <c r="N67" s="147"/>
      <c r="O67" s="147"/>
      <c r="P67" s="147"/>
      <c r="Q67" s="147"/>
      <c r="R67" s="516">
        <f>SUM(E67:Q67)</f>
        <v>0</v>
      </c>
      <c r="S67" s="147">
        <v>0</v>
      </c>
      <c r="T67" s="147"/>
      <c r="U67" s="143"/>
    </row>
    <row r="68" spans="1:21" s="144" customFormat="1" ht="12" customHeight="1">
      <c r="A68" s="283" t="s">
        <v>1635</v>
      </c>
      <c r="B68" s="146">
        <f>SUM(C68+D68)</f>
        <v>0</v>
      </c>
      <c r="C68" s="147">
        <v>0</v>
      </c>
      <c r="D68" s="147"/>
      <c r="E68" s="147"/>
      <c r="F68" s="147"/>
      <c r="G68" s="147"/>
      <c r="H68" s="147"/>
      <c r="I68" s="147"/>
      <c r="J68" s="147"/>
      <c r="K68" s="147"/>
      <c r="L68" s="147"/>
      <c r="M68" s="147"/>
      <c r="N68" s="147"/>
      <c r="O68" s="147"/>
      <c r="P68" s="147"/>
      <c r="Q68" s="147"/>
      <c r="R68" s="516">
        <f>SUM(E68:Q68)</f>
        <v>0</v>
      </c>
      <c r="S68" s="147">
        <v>0</v>
      </c>
      <c r="T68" s="147"/>
      <c r="U68" s="143"/>
    </row>
    <row r="69" spans="1:21" s="144" customFormat="1" ht="24">
      <c r="A69" s="1143" t="s">
        <v>2643</v>
      </c>
      <c r="B69" s="146">
        <f>SUM(C69+D69)</f>
        <v>527100</v>
      </c>
      <c r="C69" s="147">
        <v>527100</v>
      </c>
      <c r="D69" s="147"/>
      <c r="E69" s="147">
        <f>+C69-SUM(F69:M69)</f>
        <v>527100</v>
      </c>
      <c r="F69" s="147"/>
      <c r="G69" s="147"/>
      <c r="H69" s="147"/>
      <c r="I69" s="147"/>
      <c r="J69" s="147"/>
      <c r="K69" s="147"/>
      <c r="L69" s="147"/>
      <c r="M69" s="147"/>
      <c r="N69" s="147"/>
      <c r="O69" s="147"/>
      <c r="P69" s="147"/>
      <c r="Q69" s="147"/>
      <c r="R69" s="516">
        <f>SUM(E69:Q69)</f>
        <v>527100</v>
      </c>
      <c r="S69" s="147">
        <v>51850</v>
      </c>
      <c r="T69" s="147"/>
      <c r="U69" s="143"/>
    </row>
    <row r="70" spans="1:21" s="144" customFormat="1">
      <c r="A70" s="149" t="s">
        <v>1632</v>
      </c>
      <c r="B70" s="146">
        <f>SUM(C70:D70)</f>
        <v>542100</v>
      </c>
      <c r="C70" s="146">
        <f>SUM(C65:C69)</f>
        <v>542100</v>
      </c>
      <c r="D70" s="146">
        <f>SUM(D65:D69)</f>
        <v>0</v>
      </c>
      <c r="E70" s="146">
        <f t="shared" ref="E70:T70" si="22">SUM(E65:E69)</f>
        <v>542100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542100</v>
      </c>
      <c r="S70" s="150">
        <f t="shared" si="22"/>
        <v>66850</v>
      </c>
      <c r="T70" s="150">
        <f t="shared" si="22"/>
        <v>0</v>
      </c>
      <c r="U70" s="143"/>
    </row>
    <row r="71" spans="1:21" s="144" customFormat="1">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v>0</v>
      </c>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v>0</v>
      </c>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v>0</v>
      </c>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1172117</v>
      </c>
      <c r="C75" s="147">
        <f>1031642+140475</f>
        <v>1172117</v>
      </c>
      <c r="D75" s="147"/>
      <c r="E75" s="147">
        <f>+C75-SUM(F75:M75)</f>
        <v>0</v>
      </c>
      <c r="F75" s="147"/>
      <c r="G75" s="147"/>
      <c r="H75" s="147"/>
      <c r="I75" s="147"/>
      <c r="J75" s="147">
        <f>+B75</f>
        <v>1172117</v>
      </c>
      <c r="K75" s="147"/>
      <c r="L75" s="147"/>
      <c r="M75" s="147"/>
      <c r="N75" s="147"/>
      <c r="O75" s="147"/>
      <c r="P75" s="147"/>
      <c r="Q75" s="147"/>
      <c r="R75" s="516">
        <f>SUM(E75:Q75)</f>
        <v>1172117</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604</v>
      </c>
      <c r="B77" s="146">
        <f>SUM(C77:D77)</f>
        <v>1172117</v>
      </c>
      <c r="C77" s="146">
        <f>SUM(C72:C76)</f>
        <v>1172117</v>
      </c>
      <c r="D77" s="146">
        <f>SUM(D72:D76)</f>
        <v>0</v>
      </c>
      <c r="E77" s="146">
        <f t="shared" ref="E77:Q77" si="23">SUM(E72:E76)</f>
        <v>0</v>
      </c>
      <c r="F77" s="146">
        <f t="shared" si="23"/>
        <v>0</v>
      </c>
      <c r="G77" s="146">
        <f t="shared" si="23"/>
        <v>0</v>
      </c>
      <c r="H77" s="146">
        <f t="shared" si="23"/>
        <v>0</v>
      </c>
      <c r="I77" s="146">
        <f t="shared" si="23"/>
        <v>0</v>
      </c>
      <c r="J77" s="146">
        <f t="shared" si="23"/>
        <v>1172117</v>
      </c>
      <c r="K77" s="146">
        <f t="shared" si="23"/>
        <v>0</v>
      </c>
      <c r="L77" s="146">
        <f t="shared" si="23"/>
        <v>0</v>
      </c>
      <c r="M77" s="146">
        <f t="shared" si="23"/>
        <v>0</v>
      </c>
      <c r="N77" s="146">
        <f t="shared" si="23"/>
        <v>0</v>
      </c>
      <c r="O77" s="146">
        <f t="shared" si="23"/>
        <v>0</v>
      </c>
      <c r="P77" s="146">
        <f t="shared" si="23"/>
        <v>0</v>
      </c>
      <c r="Q77" s="146">
        <f t="shared" si="23"/>
        <v>0</v>
      </c>
      <c r="R77" s="342">
        <f>SUM(R72:R76)</f>
        <v>1172117</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3300000</v>
      </c>
      <c r="C79" s="147">
        <v>3300000</v>
      </c>
      <c r="D79" s="147"/>
      <c r="E79" s="147">
        <f t="shared" ref="E79:E80" si="24">+C79-SUM(F79:M79)</f>
        <v>3300000</v>
      </c>
      <c r="F79" s="147"/>
      <c r="G79" s="147"/>
      <c r="H79" s="147"/>
      <c r="I79" s="147"/>
      <c r="J79" s="147"/>
      <c r="K79" s="147"/>
      <c r="L79" s="147"/>
      <c r="M79" s="147"/>
      <c r="N79" s="147"/>
      <c r="O79" s="147"/>
      <c r="P79" s="147"/>
      <c r="Q79" s="147"/>
      <c r="R79" s="516">
        <f>SUM(E79:Q79)</f>
        <v>3300000</v>
      </c>
      <c r="S79" s="147">
        <v>3300000</v>
      </c>
      <c r="T79" s="147"/>
      <c r="U79" s="143"/>
    </row>
    <row r="80" spans="1:21" s="144" customFormat="1">
      <c r="A80" s="283" t="s">
        <v>58</v>
      </c>
      <c r="B80" s="146">
        <f>SUM(C80:D80)</f>
        <v>300000</v>
      </c>
      <c r="C80" s="147">
        <v>300000</v>
      </c>
      <c r="D80" s="147"/>
      <c r="E80" s="147">
        <f t="shared" si="24"/>
        <v>300000</v>
      </c>
      <c r="F80" s="147"/>
      <c r="G80" s="147"/>
      <c r="H80" s="147"/>
      <c r="I80" s="147"/>
      <c r="J80" s="147"/>
      <c r="K80" s="147"/>
      <c r="L80" s="147"/>
      <c r="M80" s="147"/>
      <c r="N80" s="147"/>
      <c r="O80" s="147"/>
      <c r="P80" s="147"/>
      <c r="Q80" s="147"/>
      <c r="R80" s="516">
        <f>SUM(E80:Q80)</f>
        <v>300000</v>
      </c>
      <c r="S80" s="147">
        <v>300000</v>
      </c>
      <c r="T80" s="147"/>
      <c r="U80" s="143"/>
    </row>
    <row r="81" spans="1:21" s="144" customFormat="1">
      <c r="A81" s="149" t="s">
        <v>1207</v>
      </c>
      <c r="B81" s="146">
        <f>SUM(C81:D81)</f>
        <v>3600000</v>
      </c>
      <c r="C81" s="509">
        <f>SUM(C79:C80)</f>
        <v>3600000</v>
      </c>
      <c r="D81" s="509">
        <f t="shared" ref="D81:T81" si="25">SUM(D79:D80)</f>
        <v>0</v>
      </c>
      <c r="E81" s="509">
        <f t="shared" si="25"/>
        <v>3600000</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3600000</v>
      </c>
      <c r="S81" s="509">
        <f t="shared" si="25"/>
        <v>3600000</v>
      </c>
      <c r="T81" s="509">
        <f t="shared" si="25"/>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2047</v>
      </c>
      <c r="B83" s="146">
        <f t="shared" ref="B83:B95" si="26">SUM(C83+D83)</f>
        <v>283788</v>
      </c>
      <c r="C83" s="147">
        <v>283788</v>
      </c>
      <c r="D83" s="147"/>
      <c r="E83" s="147">
        <f>+C83-SUM(F83:M83)</f>
        <v>283788</v>
      </c>
      <c r="F83" s="147"/>
      <c r="G83" s="147"/>
      <c r="H83" s="147"/>
      <c r="I83" s="147"/>
      <c r="J83" s="147"/>
      <c r="K83" s="147"/>
      <c r="L83" s="147"/>
      <c r="M83" s="147"/>
      <c r="N83" s="147"/>
      <c r="O83" s="147"/>
      <c r="P83" s="147"/>
      <c r="Q83" s="147"/>
      <c r="R83" s="516">
        <f t="shared" ref="R83:R95" si="27">SUM(E83:Q83)</f>
        <v>283788</v>
      </c>
      <c r="S83" s="148"/>
      <c r="T83" s="148"/>
      <c r="U83" s="143"/>
    </row>
    <row r="84" spans="1:21" s="144" customFormat="1">
      <c r="A84" s="145" t="s">
        <v>765</v>
      </c>
      <c r="B84" s="146">
        <f t="shared" si="26"/>
        <v>40000</v>
      </c>
      <c r="C84" s="147">
        <v>40000</v>
      </c>
      <c r="D84" s="147"/>
      <c r="E84" s="147">
        <f t="shared" ref="E84:E94" si="28">+C84-SUM(F84:M84)</f>
        <v>40000</v>
      </c>
      <c r="F84" s="147"/>
      <c r="G84" s="147"/>
      <c r="H84" s="147"/>
      <c r="I84" s="147"/>
      <c r="J84" s="147"/>
      <c r="K84" s="147"/>
      <c r="L84" s="147"/>
      <c r="M84" s="147"/>
      <c r="N84" s="147"/>
      <c r="O84" s="147"/>
      <c r="P84" s="147"/>
      <c r="Q84" s="147"/>
      <c r="R84" s="516">
        <f t="shared" si="27"/>
        <v>40000</v>
      </c>
      <c r="S84" s="147">
        <v>40000</v>
      </c>
      <c r="T84" s="147"/>
      <c r="U84" s="143"/>
    </row>
    <row r="85" spans="1:21" s="144" customFormat="1">
      <c r="A85" s="145" t="s">
        <v>766</v>
      </c>
      <c r="B85" s="146">
        <f t="shared" si="26"/>
        <v>6685570</v>
      </c>
      <c r="C85" s="147">
        <v>6685570</v>
      </c>
      <c r="D85" s="147"/>
      <c r="E85" s="147">
        <f t="shared" si="28"/>
        <v>0</v>
      </c>
      <c r="F85" s="147"/>
      <c r="G85" s="147"/>
      <c r="H85" s="147"/>
      <c r="I85" s="147">
        <f>+B85</f>
        <v>6685570</v>
      </c>
      <c r="J85" s="147"/>
      <c r="K85" s="147"/>
      <c r="L85" s="147"/>
      <c r="M85" s="147"/>
      <c r="N85" s="147"/>
      <c r="O85" s="147"/>
      <c r="P85" s="147"/>
      <c r="Q85" s="147"/>
      <c r="R85" s="516">
        <f t="shared" si="27"/>
        <v>6685570</v>
      </c>
      <c r="S85" s="147">
        <v>6685570</v>
      </c>
      <c r="T85" s="147"/>
      <c r="U85" s="143"/>
    </row>
    <row r="86" spans="1:21" s="144" customFormat="1">
      <c r="A86" s="145" t="s">
        <v>767</v>
      </c>
      <c r="B86" s="146">
        <f t="shared" si="26"/>
        <v>600000</v>
      </c>
      <c r="C86" s="147">
        <v>600000</v>
      </c>
      <c r="D86" s="147"/>
      <c r="E86" s="147">
        <f>+C86-SUM(F86:M86)</f>
        <v>285570</v>
      </c>
      <c r="F86" s="147"/>
      <c r="G86" s="147"/>
      <c r="H86" s="147"/>
      <c r="I86" s="147">
        <v>314430</v>
      </c>
      <c r="J86" s="147"/>
      <c r="K86" s="147"/>
      <c r="L86" s="147"/>
      <c r="M86" s="147"/>
      <c r="N86" s="147"/>
      <c r="O86" s="147"/>
      <c r="P86" s="147"/>
      <c r="Q86" s="147"/>
      <c r="R86" s="516">
        <f t="shared" si="27"/>
        <v>600000</v>
      </c>
      <c r="S86" s="147">
        <v>600000</v>
      </c>
      <c r="T86" s="147"/>
      <c r="U86" s="143"/>
    </row>
    <row r="87" spans="1:21" s="144" customFormat="1">
      <c r="A87" s="145" t="s">
        <v>768</v>
      </c>
      <c r="B87" s="146">
        <f t="shared" si="26"/>
        <v>0</v>
      </c>
      <c r="C87" s="147">
        <v>0</v>
      </c>
      <c r="D87" s="147"/>
      <c r="E87" s="147">
        <f t="shared" si="28"/>
        <v>0</v>
      </c>
      <c r="F87" s="147"/>
      <c r="G87" s="147"/>
      <c r="H87" s="147"/>
      <c r="I87" s="147"/>
      <c r="J87" s="147"/>
      <c r="K87" s="147"/>
      <c r="L87" s="147"/>
      <c r="M87" s="147"/>
      <c r="N87" s="147"/>
      <c r="O87" s="147"/>
      <c r="P87" s="147"/>
      <c r="Q87" s="147"/>
      <c r="R87" s="516">
        <f t="shared" si="27"/>
        <v>0</v>
      </c>
      <c r="S87" s="147">
        <v>0</v>
      </c>
      <c r="T87" s="147"/>
      <c r="U87" s="143"/>
    </row>
    <row r="88" spans="1:21" s="144" customFormat="1">
      <c r="A88" s="145" t="s">
        <v>769</v>
      </c>
      <c r="B88" s="146">
        <f t="shared" si="26"/>
        <v>138826</v>
      </c>
      <c r="C88" s="147">
        <v>138826</v>
      </c>
      <c r="D88" s="147"/>
      <c r="E88" s="147">
        <f t="shared" si="28"/>
        <v>138826</v>
      </c>
      <c r="F88" s="147"/>
      <c r="G88" s="147"/>
      <c r="H88" s="147"/>
      <c r="I88" s="147"/>
      <c r="J88" s="147"/>
      <c r="K88" s="147"/>
      <c r="L88" s="147"/>
      <c r="M88" s="147"/>
      <c r="N88" s="147"/>
      <c r="O88" s="147"/>
      <c r="P88" s="147"/>
      <c r="Q88" s="147"/>
      <c r="R88" s="516">
        <f t="shared" si="27"/>
        <v>138826</v>
      </c>
      <c r="S88" s="148"/>
      <c r="T88" s="148"/>
      <c r="U88" s="143"/>
    </row>
    <row r="89" spans="1:21" s="144" customFormat="1">
      <c r="A89" s="145" t="s">
        <v>770</v>
      </c>
      <c r="B89" s="146">
        <f t="shared" si="26"/>
        <v>360000</v>
      </c>
      <c r="C89" s="147">
        <v>360000</v>
      </c>
      <c r="D89" s="147"/>
      <c r="E89" s="147">
        <f t="shared" si="28"/>
        <v>360000</v>
      </c>
      <c r="F89" s="147"/>
      <c r="G89" s="147"/>
      <c r="H89" s="147"/>
      <c r="I89" s="147"/>
      <c r="J89" s="147"/>
      <c r="K89" s="147"/>
      <c r="L89" s="147"/>
      <c r="M89" s="147"/>
      <c r="N89" s="147"/>
      <c r="O89" s="147"/>
      <c r="P89" s="147"/>
      <c r="Q89" s="147"/>
      <c r="R89" s="516">
        <f t="shared" si="27"/>
        <v>360000</v>
      </c>
      <c r="S89" s="147">
        <v>360000</v>
      </c>
      <c r="T89" s="147"/>
      <c r="U89" s="143"/>
    </row>
    <row r="90" spans="1:21" s="144" customFormat="1">
      <c r="A90" s="145" t="s">
        <v>771</v>
      </c>
      <c r="B90" s="146">
        <f t="shared" si="26"/>
        <v>7500</v>
      </c>
      <c r="C90" s="147">
        <v>7500</v>
      </c>
      <c r="D90" s="147"/>
      <c r="E90" s="147">
        <f t="shared" si="28"/>
        <v>7500</v>
      </c>
      <c r="F90" s="147"/>
      <c r="G90" s="147"/>
      <c r="H90" s="147"/>
      <c r="I90" s="147"/>
      <c r="J90" s="147"/>
      <c r="K90" s="147"/>
      <c r="L90" s="147"/>
      <c r="M90" s="147"/>
      <c r="N90" s="147"/>
      <c r="O90" s="147"/>
      <c r="P90" s="147"/>
      <c r="Q90" s="147"/>
      <c r="R90" s="516">
        <f t="shared" si="27"/>
        <v>7500</v>
      </c>
      <c r="S90" s="147">
        <v>7500</v>
      </c>
      <c r="T90" s="147"/>
      <c r="U90" s="143"/>
    </row>
    <row r="91" spans="1:21" s="144" customFormat="1">
      <c r="A91" s="145" t="s">
        <v>370</v>
      </c>
      <c r="B91" s="146">
        <f t="shared" si="26"/>
        <v>15000</v>
      </c>
      <c r="C91" s="147">
        <v>15000</v>
      </c>
      <c r="D91" s="147"/>
      <c r="E91" s="147">
        <f t="shared" si="28"/>
        <v>15000</v>
      </c>
      <c r="F91" s="147"/>
      <c r="G91" s="147"/>
      <c r="H91" s="147"/>
      <c r="I91" s="147"/>
      <c r="J91" s="147"/>
      <c r="K91" s="147"/>
      <c r="L91" s="147"/>
      <c r="M91" s="147"/>
      <c r="N91" s="147"/>
      <c r="O91" s="147"/>
      <c r="P91" s="147"/>
      <c r="Q91" s="147"/>
      <c r="R91" s="516">
        <f t="shared" si="27"/>
        <v>15000</v>
      </c>
      <c r="S91" s="147">
        <v>0</v>
      </c>
      <c r="T91" s="147"/>
      <c r="U91" s="143"/>
    </row>
    <row r="92" spans="1:21" s="144" customFormat="1">
      <c r="A92" s="283" t="s">
        <v>1209</v>
      </c>
      <c r="B92" s="146">
        <f t="shared" si="26"/>
        <v>7500</v>
      </c>
      <c r="C92" s="147">
        <v>7500</v>
      </c>
      <c r="D92" s="147"/>
      <c r="E92" s="147">
        <f t="shared" si="28"/>
        <v>7500</v>
      </c>
      <c r="F92" s="147"/>
      <c r="G92" s="147"/>
      <c r="H92" s="147"/>
      <c r="I92" s="147"/>
      <c r="J92" s="147"/>
      <c r="K92" s="147"/>
      <c r="L92" s="147"/>
      <c r="M92" s="147"/>
      <c r="N92" s="147"/>
      <c r="O92" s="147"/>
      <c r="P92" s="147"/>
      <c r="Q92" s="147"/>
      <c r="R92" s="516">
        <f t="shared" si="27"/>
        <v>7500</v>
      </c>
      <c r="S92" s="147">
        <v>7500</v>
      </c>
      <c r="T92" s="147"/>
      <c r="U92" s="143"/>
    </row>
    <row r="93" spans="1:21" s="144" customFormat="1">
      <c r="A93" s="1143" t="s">
        <v>2644</v>
      </c>
      <c r="B93" s="146">
        <f t="shared" si="26"/>
        <v>250000</v>
      </c>
      <c r="C93" s="147">
        <v>250000</v>
      </c>
      <c r="D93" s="147"/>
      <c r="E93" s="147">
        <f t="shared" si="28"/>
        <v>250000</v>
      </c>
      <c r="F93" s="147"/>
      <c r="G93" s="147"/>
      <c r="H93" s="147"/>
      <c r="I93" s="147"/>
      <c r="J93" s="147"/>
      <c r="K93" s="147"/>
      <c r="L93" s="147"/>
      <c r="M93" s="147"/>
      <c r="N93" s="147"/>
      <c r="O93" s="147"/>
      <c r="P93" s="147"/>
      <c r="Q93" s="147"/>
      <c r="R93" s="516">
        <f t="shared" si="27"/>
        <v>250000</v>
      </c>
      <c r="S93" s="147">
        <v>240475</v>
      </c>
      <c r="T93" s="147"/>
      <c r="U93" s="143"/>
    </row>
    <row r="94" spans="1:21" s="144" customFormat="1">
      <c r="A94" s="1143" t="s">
        <v>2646</v>
      </c>
      <c r="B94" s="146">
        <f t="shared" si="26"/>
        <v>320000</v>
      </c>
      <c r="C94" s="147">
        <v>320000</v>
      </c>
      <c r="D94" s="147"/>
      <c r="E94" s="147">
        <f t="shared" si="28"/>
        <v>320000</v>
      </c>
      <c r="F94" s="147"/>
      <c r="G94" s="147"/>
      <c r="H94" s="147"/>
      <c r="I94" s="147"/>
      <c r="J94" s="147"/>
      <c r="K94" s="147"/>
      <c r="L94" s="147"/>
      <c r="M94" s="147"/>
      <c r="N94" s="147"/>
      <c r="O94" s="147"/>
      <c r="P94" s="147"/>
      <c r="Q94" s="147"/>
      <c r="R94" s="516">
        <f t="shared" si="27"/>
        <v>320000</v>
      </c>
      <c r="S94" s="147">
        <v>320000</v>
      </c>
      <c r="T94" s="147"/>
      <c r="U94" s="143"/>
    </row>
    <row r="95" spans="1:21" s="144" customFormat="1">
      <c r="A95" s="1143" t="s">
        <v>34</v>
      </c>
      <c r="B95" s="146">
        <f t="shared" si="26"/>
        <v>0</v>
      </c>
      <c r="C95" s="147">
        <v>0</v>
      </c>
      <c r="D95" s="147"/>
      <c r="E95" s="147"/>
      <c r="F95" s="147"/>
      <c r="G95" s="147"/>
      <c r="H95" s="147"/>
      <c r="I95" s="147"/>
      <c r="J95" s="147"/>
      <c r="K95" s="147"/>
      <c r="L95" s="147"/>
      <c r="M95" s="147"/>
      <c r="N95" s="147"/>
      <c r="O95" s="147"/>
      <c r="P95" s="147"/>
      <c r="Q95" s="147"/>
      <c r="R95" s="516">
        <f t="shared" si="27"/>
        <v>0</v>
      </c>
      <c r="S95" s="147">
        <v>0</v>
      </c>
      <c r="T95" s="147"/>
      <c r="U95" s="143"/>
    </row>
    <row r="96" spans="1:21" s="144" customFormat="1">
      <c r="A96" s="149" t="s">
        <v>772</v>
      </c>
      <c r="B96" s="146">
        <f>SUM(C96:D96)</f>
        <v>8708184</v>
      </c>
      <c r="C96" s="146">
        <f t="shared" ref="C96:R96" si="29">SUM(C83:C95)</f>
        <v>8708184</v>
      </c>
      <c r="D96" s="146">
        <f t="shared" si="29"/>
        <v>0</v>
      </c>
      <c r="E96" s="146">
        <f t="shared" si="29"/>
        <v>1708184</v>
      </c>
      <c r="F96" s="146">
        <f t="shared" si="29"/>
        <v>0</v>
      </c>
      <c r="G96" s="146">
        <f t="shared" si="29"/>
        <v>0</v>
      </c>
      <c r="H96" s="146">
        <f t="shared" si="29"/>
        <v>0</v>
      </c>
      <c r="I96" s="146">
        <f t="shared" si="29"/>
        <v>7000000</v>
      </c>
      <c r="J96" s="146">
        <f t="shared" si="29"/>
        <v>0</v>
      </c>
      <c r="K96" s="146">
        <f t="shared" si="29"/>
        <v>0</v>
      </c>
      <c r="L96" s="146">
        <f t="shared" si="29"/>
        <v>0</v>
      </c>
      <c r="M96" s="146">
        <f t="shared" si="29"/>
        <v>0</v>
      </c>
      <c r="N96" s="146">
        <f t="shared" si="29"/>
        <v>0</v>
      </c>
      <c r="O96" s="146">
        <f t="shared" si="29"/>
        <v>0</v>
      </c>
      <c r="P96" s="146">
        <f t="shared" si="29"/>
        <v>0</v>
      </c>
      <c r="Q96" s="146">
        <f t="shared" si="29"/>
        <v>0</v>
      </c>
      <c r="R96" s="342">
        <f t="shared" si="29"/>
        <v>8708184</v>
      </c>
      <c r="S96" s="150">
        <f>SUM(S84:S87,S89:S95)</f>
        <v>8261045</v>
      </c>
      <c r="T96" s="146">
        <f>SUM(T84:T87,T89:T95)</f>
        <v>0</v>
      </c>
      <c r="U96" s="143"/>
    </row>
    <row r="97" spans="1:21" s="144" customFormat="1">
      <c r="A97" s="149" t="s">
        <v>773</v>
      </c>
      <c r="B97" s="146">
        <f>SUM(C97:D97)</f>
        <v>103808792</v>
      </c>
      <c r="C97" s="146">
        <f t="shared" ref="C97:R97" si="30">SUM(C63+C70+C77+C81+C96)</f>
        <v>103808792</v>
      </c>
      <c r="D97" s="146">
        <f t="shared" si="30"/>
        <v>0</v>
      </c>
      <c r="E97" s="146">
        <f t="shared" si="30"/>
        <v>54298136</v>
      </c>
      <c r="F97" s="146">
        <f t="shared" si="30"/>
        <v>30800000</v>
      </c>
      <c r="G97" s="146">
        <f t="shared" si="30"/>
        <v>3000000</v>
      </c>
      <c r="H97" s="146">
        <f t="shared" si="30"/>
        <v>4951339</v>
      </c>
      <c r="I97" s="146">
        <f t="shared" si="30"/>
        <v>7000000</v>
      </c>
      <c r="J97" s="146">
        <f t="shared" si="30"/>
        <v>1172117</v>
      </c>
      <c r="K97" s="146">
        <f t="shared" si="30"/>
        <v>2587200</v>
      </c>
      <c r="L97" s="146">
        <f t="shared" si="30"/>
        <v>0</v>
      </c>
      <c r="M97" s="146">
        <f t="shared" si="30"/>
        <v>0</v>
      </c>
      <c r="N97" s="146">
        <f t="shared" si="30"/>
        <v>0</v>
      </c>
      <c r="O97" s="146">
        <f t="shared" si="30"/>
        <v>0</v>
      </c>
      <c r="P97" s="146">
        <f t="shared" si="30"/>
        <v>0</v>
      </c>
      <c r="Q97" s="146">
        <f t="shared" si="30"/>
        <v>0</v>
      </c>
      <c r="R97" s="146">
        <f t="shared" si="30"/>
        <v>103808792</v>
      </c>
      <c r="S97" s="146">
        <f>SUM(S63+S70+S81+S96)</f>
        <v>90781889.547104716</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12540307</v>
      </c>
      <c r="C99" s="974">
        <f>12680782-140475</f>
        <v>12540307</v>
      </c>
      <c r="D99" s="974"/>
      <c r="E99" s="974">
        <f>+C99-SUM(F99:M99)</f>
        <v>1689322</v>
      </c>
      <c r="F99" s="147"/>
      <c r="G99" s="147"/>
      <c r="H99" s="147"/>
      <c r="I99" s="147"/>
      <c r="J99" s="147">
        <f>1583178-J75</f>
        <v>411061</v>
      </c>
      <c r="K99" s="147">
        <v>877800</v>
      </c>
      <c r="L99" s="147">
        <v>9562124</v>
      </c>
      <c r="M99" s="147"/>
      <c r="N99" s="147"/>
      <c r="O99" s="147"/>
      <c r="P99" s="147"/>
      <c r="Q99" s="147"/>
      <c r="R99" s="516">
        <f>SUM(E99:Q99)</f>
        <v>12540307</v>
      </c>
      <c r="S99" s="147">
        <f>+R99</f>
        <v>12540307</v>
      </c>
      <c r="T99" s="147"/>
      <c r="U99" s="143"/>
    </row>
    <row r="100" spans="1:21" s="144" customFormat="1">
      <c r="A100" s="283" t="s">
        <v>1633</v>
      </c>
      <c r="B100" s="146">
        <f>SUM(C100+D100)</f>
        <v>0</v>
      </c>
      <c r="C100" s="147">
        <v>0</v>
      </c>
      <c r="D100" s="147"/>
      <c r="E100" s="147">
        <f t="shared" ref="E100:E102" si="31">+C100-SUM(F100:M100)</f>
        <v>0</v>
      </c>
      <c r="F100" s="147"/>
      <c r="G100" s="147"/>
      <c r="H100" s="147"/>
      <c r="I100" s="147"/>
      <c r="J100" s="147"/>
      <c r="K100" s="147"/>
      <c r="L100" s="147"/>
      <c r="M100" s="147"/>
      <c r="N100" s="147"/>
      <c r="O100" s="147"/>
      <c r="P100" s="147"/>
      <c r="Q100" s="147"/>
      <c r="R100" s="516">
        <f>SUM(E100:Q100)</f>
        <v>0</v>
      </c>
      <c r="S100" s="147">
        <v>0</v>
      </c>
      <c r="T100" s="147"/>
      <c r="U100" s="143"/>
    </row>
    <row r="101" spans="1:21" s="144" customFormat="1" ht="12" customHeight="1">
      <c r="A101" s="145" t="s">
        <v>776</v>
      </c>
      <c r="B101" s="146">
        <f>SUM(C101+D101)</f>
        <v>0</v>
      </c>
      <c r="C101" s="147">
        <v>0</v>
      </c>
      <c r="D101" s="147"/>
      <c r="E101" s="147">
        <f t="shared" si="31"/>
        <v>0</v>
      </c>
      <c r="F101" s="147"/>
      <c r="G101" s="147"/>
      <c r="H101" s="147"/>
      <c r="I101" s="147"/>
      <c r="J101" s="147"/>
      <c r="K101" s="147"/>
      <c r="L101" s="147"/>
      <c r="M101" s="147"/>
      <c r="N101" s="147"/>
      <c r="O101" s="147"/>
      <c r="P101" s="147"/>
      <c r="Q101" s="147"/>
      <c r="R101" s="516">
        <f>SUM(E101:Q101)</f>
        <v>0</v>
      </c>
      <c r="S101" s="147">
        <v>0</v>
      </c>
      <c r="T101" s="147"/>
      <c r="U101" s="143"/>
    </row>
    <row r="102" spans="1:21" s="144" customFormat="1">
      <c r="A102" s="283" t="s">
        <v>1634</v>
      </c>
      <c r="B102" s="146">
        <f>SUM(C102+D102)</f>
        <v>1076976</v>
      </c>
      <c r="C102" s="147">
        <v>1076976</v>
      </c>
      <c r="D102" s="147"/>
      <c r="E102" s="147">
        <f t="shared" si="31"/>
        <v>1076976</v>
      </c>
      <c r="F102" s="147"/>
      <c r="G102" s="147"/>
      <c r="H102" s="147"/>
      <c r="I102" s="147"/>
      <c r="J102" s="147"/>
      <c r="K102" s="147"/>
      <c r="L102" s="147"/>
      <c r="M102" s="147"/>
      <c r="N102" s="147"/>
      <c r="O102" s="147"/>
      <c r="P102" s="147"/>
      <c r="Q102" s="147"/>
      <c r="R102" s="516">
        <f>SUM(E102:Q102)</f>
        <v>1076976</v>
      </c>
      <c r="S102" s="147">
        <v>1076976</v>
      </c>
      <c r="T102" s="147"/>
      <c r="U102" s="143"/>
    </row>
    <row r="103" spans="1:21" s="144" customFormat="1">
      <c r="A103" s="1143" t="s">
        <v>34</v>
      </c>
      <c r="B103" s="146">
        <f>SUM(C103+D103)</f>
        <v>0</v>
      </c>
      <c r="C103" s="147">
        <v>0</v>
      </c>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13617283</v>
      </c>
      <c r="C104" s="146">
        <f>SUM(C99:C103)</f>
        <v>13617283</v>
      </c>
      <c r="D104" s="146">
        <f t="shared" ref="D104:T104" si="32">SUM(D99:D103)</f>
        <v>0</v>
      </c>
      <c r="E104" s="146">
        <f t="shared" si="32"/>
        <v>2766298</v>
      </c>
      <c r="F104" s="146">
        <f t="shared" si="32"/>
        <v>0</v>
      </c>
      <c r="G104" s="146">
        <f t="shared" si="32"/>
        <v>0</v>
      </c>
      <c r="H104" s="146">
        <f t="shared" si="32"/>
        <v>0</v>
      </c>
      <c r="I104" s="146">
        <f t="shared" si="32"/>
        <v>0</v>
      </c>
      <c r="J104" s="146">
        <f t="shared" si="32"/>
        <v>411061</v>
      </c>
      <c r="K104" s="146">
        <f t="shared" si="32"/>
        <v>877800</v>
      </c>
      <c r="L104" s="146">
        <f t="shared" si="32"/>
        <v>9562124</v>
      </c>
      <c r="M104" s="146">
        <f t="shared" si="32"/>
        <v>0</v>
      </c>
      <c r="N104" s="146">
        <f t="shared" si="32"/>
        <v>0</v>
      </c>
      <c r="O104" s="146">
        <f t="shared" si="32"/>
        <v>0</v>
      </c>
      <c r="P104" s="146">
        <f t="shared" si="32"/>
        <v>0</v>
      </c>
      <c r="Q104" s="146">
        <f t="shared" si="32"/>
        <v>0</v>
      </c>
      <c r="R104" s="342">
        <f t="shared" si="32"/>
        <v>13617283</v>
      </c>
      <c r="S104" s="150">
        <f t="shared" si="32"/>
        <v>13617283</v>
      </c>
      <c r="T104" s="150">
        <f t="shared" si="32"/>
        <v>0</v>
      </c>
      <c r="U104" s="143"/>
    </row>
    <row r="105" spans="1:21" s="144" customFormat="1">
      <c r="A105" s="149" t="s">
        <v>778</v>
      </c>
      <c r="B105" s="150">
        <f>SUM(C105:D105)</f>
        <v>117426075</v>
      </c>
      <c r="C105" s="150">
        <f t="shared" ref="C105:R105" si="33">SUM(C97+C104)</f>
        <v>117426075</v>
      </c>
      <c r="D105" s="150">
        <f t="shared" si="33"/>
        <v>0</v>
      </c>
      <c r="E105" s="150">
        <f t="shared" si="33"/>
        <v>57064434</v>
      </c>
      <c r="F105" s="150">
        <f t="shared" si="33"/>
        <v>30800000</v>
      </c>
      <c r="G105" s="150">
        <f t="shared" si="33"/>
        <v>3000000</v>
      </c>
      <c r="H105" s="150">
        <f t="shared" si="33"/>
        <v>4951339</v>
      </c>
      <c r="I105" s="150">
        <f t="shared" si="33"/>
        <v>7000000</v>
      </c>
      <c r="J105" s="150">
        <f t="shared" si="33"/>
        <v>1583178</v>
      </c>
      <c r="K105" s="150">
        <f t="shared" si="33"/>
        <v>3465000</v>
      </c>
      <c r="L105" s="150">
        <f t="shared" si="33"/>
        <v>9562124</v>
      </c>
      <c r="M105" s="150">
        <f t="shared" si="33"/>
        <v>0</v>
      </c>
      <c r="N105" s="150">
        <f t="shared" si="33"/>
        <v>0</v>
      </c>
      <c r="O105" s="150">
        <f t="shared" si="33"/>
        <v>0</v>
      </c>
      <c r="P105" s="150">
        <f t="shared" si="33"/>
        <v>0</v>
      </c>
      <c r="Q105" s="150">
        <f t="shared" si="33"/>
        <v>0</v>
      </c>
      <c r="R105" s="342">
        <f t="shared" si="33"/>
        <v>117426075</v>
      </c>
      <c r="S105" s="150">
        <f>S97+S104</f>
        <v>104399172.54710472</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348</v>
      </c>
      <c r="J107" s="162"/>
      <c r="R107" s="160" t="s">
        <v>94</v>
      </c>
      <c r="S107" s="150">
        <f>S105+S106</f>
        <v>104399172.54710472</v>
      </c>
      <c r="T107" s="150">
        <f>T105+T106</f>
        <v>0</v>
      </c>
    </row>
    <row r="108" spans="1:21" s="189" customFormat="1">
      <c r="A108" s="162" t="s">
        <v>877</v>
      </c>
      <c r="B108" s="157"/>
      <c r="C108" s="157"/>
      <c r="D108" s="157"/>
      <c r="E108" s="301">
        <f>Application!AO648</f>
        <v>57064434</v>
      </c>
      <c r="F108" s="301">
        <f>Application!AO635</f>
        <v>30800000</v>
      </c>
      <c r="G108" s="301">
        <f>Application!AO636</f>
        <v>3000000</v>
      </c>
      <c r="H108" s="301">
        <f>Application!AO637</f>
        <v>4951339</v>
      </c>
      <c r="I108" s="301">
        <f>Application!AO638</f>
        <v>7000000</v>
      </c>
      <c r="J108" s="301">
        <f>Application!AO639</f>
        <v>1583178</v>
      </c>
      <c r="K108" s="301">
        <f>Application!AO640</f>
        <v>3465000</v>
      </c>
      <c r="L108" s="301">
        <f>Application!AO641</f>
        <v>9562124</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2048</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7" t="s">
        <v>988</v>
      </c>
      <c r="E122" s="1877"/>
      <c r="F122" s="1877"/>
      <c r="G122" s="324"/>
      <c r="H122" s="324"/>
      <c r="I122" s="324"/>
      <c r="J122" s="324"/>
      <c r="K122" s="324"/>
      <c r="L122" s="324"/>
      <c r="M122" s="324"/>
      <c r="N122" s="324"/>
      <c r="O122" s="324"/>
      <c r="P122" s="324"/>
      <c r="Q122" s="324"/>
      <c r="R122" s="324"/>
      <c r="S122" s="324"/>
      <c r="T122" s="324"/>
      <c r="U122" s="326"/>
    </row>
    <row r="123" spans="1:21">
      <c r="A123" s="324" t="s">
        <v>989</v>
      </c>
      <c r="B123" s="333"/>
      <c r="C123" s="324"/>
      <c r="D123" s="1869" t="s">
        <v>1222</v>
      </c>
      <c r="E123" s="1479"/>
      <c r="F123" s="1479"/>
      <c r="G123" s="1479"/>
      <c r="H123" s="1479"/>
      <c r="I123" s="1479"/>
      <c r="J123" s="1479"/>
      <c r="K123" s="1479"/>
      <c r="L123" s="1479"/>
      <c r="M123" s="1479"/>
      <c r="N123" s="1479"/>
      <c r="O123" s="1479"/>
      <c r="P123" s="1479"/>
      <c r="Q123" s="1479"/>
      <c r="R123" s="1479"/>
      <c r="S123" s="1479"/>
      <c r="T123" s="324"/>
      <c r="U123" s="326"/>
    </row>
    <row r="124" spans="1:21" ht="12.75">
      <c r="A124" s="117" t="s">
        <v>990</v>
      </c>
      <c r="B124" s="333"/>
      <c r="C124" s="117"/>
      <c r="D124" s="1479"/>
      <c r="E124" s="1479"/>
      <c r="F124" s="1479"/>
      <c r="G124" s="1479"/>
      <c r="H124" s="1479"/>
      <c r="I124" s="1479"/>
      <c r="J124" s="1479"/>
      <c r="K124" s="1479"/>
      <c r="L124" s="1479"/>
      <c r="M124" s="1479"/>
      <c r="N124" s="1479"/>
      <c r="O124" s="1479"/>
      <c r="P124" s="1479"/>
      <c r="Q124" s="1479"/>
      <c r="R124" s="1479"/>
      <c r="S124" s="1479"/>
      <c r="T124" s="324"/>
      <c r="U124" s="326"/>
    </row>
    <row r="125" spans="1:21" ht="12.75">
      <c r="A125" s="117" t="s">
        <v>991</v>
      </c>
      <c r="B125" s="333"/>
      <c r="C125" s="117"/>
      <c r="D125" s="1479"/>
      <c r="E125" s="1479"/>
      <c r="F125" s="1479"/>
      <c r="G125" s="1479"/>
      <c r="H125" s="1479"/>
      <c r="I125" s="1479"/>
      <c r="J125" s="1479"/>
      <c r="K125" s="1479"/>
      <c r="L125" s="1479"/>
      <c r="M125" s="1479"/>
      <c r="N125" s="1479"/>
      <c r="O125" s="1479"/>
      <c r="P125" s="1479"/>
      <c r="Q125" s="1479"/>
      <c r="R125" s="1479"/>
      <c r="S125" s="1479"/>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72"/>
      <c r="E128" s="1872"/>
      <c r="F128" s="1872"/>
      <c r="G128" s="1872"/>
      <c r="H128" s="1872"/>
      <c r="I128" s="117"/>
      <c r="J128" s="1868"/>
      <c r="K128" s="1868"/>
      <c r="L128" s="117"/>
      <c r="M128" s="117"/>
      <c r="N128" s="117"/>
      <c r="O128" s="117"/>
      <c r="P128" s="117"/>
      <c r="Q128" s="117"/>
      <c r="R128" s="117"/>
      <c r="S128" s="117"/>
      <c r="T128" s="324"/>
      <c r="U128" s="326"/>
    </row>
    <row r="129" spans="1:21" ht="12.75">
      <c r="A129" s="117" t="s">
        <v>299</v>
      </c>
      <c r="B129" s="333"/>
      <c r="C129" s="117"/>
      <c r="D129" s="1876" t="s">
        <v>995</v>
      </c>
      <c r="E129" s="1876"/>
      <c r="F129" s="1876"/>
      <c r="G129" s="1876"/>
      <c r="H129" s="1876"/>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447"/>
      <c r="E131" s="1447"/>
      <c r="F131" s="1447"/>
      <c r="G131" s="1447"/>
      <c r="H131" s="1447"/>
      <c r="I131" s="117"/>
      <c r="J131" s="1447"/>
      <c r="K131" s="1447"/>
      <c r="L131" s="1447"/>
      <c r="M131" s="1447"/>
      <c r="N131" s="117"/>
      <c r="O131" s="117"/>
      <c r="P131" s="117"/>
      <c r="Q131" s="117"/>
      <c r="R131" s="117"/>
      <c r="S131" s="117"/>
      <c r="T131" s="324"/>
      <c r="U131" s="326"/>
    </row>
    <row r="132" spans="1:21" ht="12" customHeight="1">
      <c r="A132" s="336"/>
      <c r="B132" s="117"/>
      <c r="C132" s="117"/>
      <c r="D132" s="1870" t="s">
        <v>998</v>
      </c>
      <c r="E132" s="1870"/>
      <c r="F132" s="1870"/>
      <c r="G132" s="1870"/>
      <c r="H132" s="1870"/>
      <c r="I132" s="117"/>
      <c r="J132" s="1870" t="s">
        <v>999</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72"/>
      <c r="C138" s="1872"/>
      <c r="D138" s="328"/>
      <c r="E138" s="1868"/>
      <c r="F138" s="1868"/>
      <c r="G138" s="117"/>
      <c r="H138" s="117"/>
      <c r="I138" s="117"/>
      <c r="J138" s="117"/>
      <c r="K138" s="117"/>
      <c r="L138" s="117"/>
      <c r="M138" s="117"/>
      <c r="N138" s="117"/>
      <c r="O138" s="117"/>
      <c r="P138" s="117"/>
      <c r="Q138" s="117"/>
      <c r="R138" s="117"/>
      <c r="S138" s="117"/>
      <c r="T138" s="330"/>
      <c r="U138" s="331"/>
    </row>
    <row r="139" spans="1:21" ht="12.75">
      <c r="A139" s="1867" t="s">
        <v>1002</v>
      </c>
      <c r="B139" s="1867"/>
      <c r="C139" s="1867"/>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0" t="s">
        <v>1225</v>
      </c>
      <c r="B1" s="1881"/>
      <c r="C1" s="1881"/>
      <c r="D1" s="1881"/>
      <c r="E1" s="1881"/>
      <c r="F1" s="1881"/>
      <c r="G1" s="1881"/>
      <c r="H1" s="1881"/>
      <c r="I1" s="1881"/>
      <c r="J1" s="1882"/>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6700000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6700000</v>
      </c>
      <c r="C8" s="361">
        <f>SUM(C4:C7)</f>
        <v>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594</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6700000</v>
      </c>
      <c r="C12" s="361">
        <f>SUM(C8+C11)</f>
        <v>0</v>
      </c>
      <c r="D12" s="361">
        <f>SUM(D8+D11)</f>
        <v>0</v>
      </c>
      <c r="E12" s="363"/>
      <c r="F12" s="363"/>
      <c r="G12" s="363"/>
      <c r="H12" s="363"/>
      <c r="I12" s="363"/>
      <c r="J12" s="363"/>
      <c r="K12" s="359"/>
    </row>
    <row r="13" spans="1:11" s="360" customFormat="1">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596</v>
      </c>
      <c r="B29" s="361">
        <f>'Sources and Uses Budget'!C29</f>
        <v>11231621</v>
      </c>
      <c r="C29" s="362"/>
      <c r="D29" s="362"/>
      <c r="E29" s="361">
        <f>'Sources and Uses Budget'!S29</f>
        <v>11231621</v>
      </c>
      <c r="F29" s="362"/>
      <c r="G29" s="362"/>
      <c r="H29" s="361">
        <f>'Sources and Uses Budget'!T29</f>
        <v>0</v>
      </c>
      <c r="I29" s="362"/>
      <c r="J29" s="362"/>
      <c r="K29" s="359"/>
    </row>
    <row r="30" spans="1:11" s="360" customFormat="1">
      <c r="A30" s="145" t="s">
        <v>597</v>
      </c>
      <c r="B30" s="361">
        <f>'Sources and Uses Budget'!C30</f>
        <v>48000000</v>
      </c>
      <c r="C30" s="362"/>
      <c r="D30" s="362"/>
      <c r="E30" s="361">
        <f>'Sources and Uses Budget'!S30</f>
        <v>47683200</v>
      </c>
      <c r="F30" s="362"/>
      <c r="G30" s="362"/>
      <c r="H30" s="361">
        <f>'Sources and Uses Budget'!T30</f>
        <v>0</v>
      </c>
      <c r="I30" s="362"/>
      <c r="J30" s="362"/>
      <c r="K30" s="359"/>
    </row>
    <row r="31" spans="1:11" s="360" customFormat="1">
      <c r="A31" s="145" t="s">
        <v>598</v>
      </c>
      <c r="B31" s="361">
        <f>'Sources and Uses Budget'!C31</f>
        <v>2400000</v>
      </c>
      <c r="C31" s="362"/>
      <c r="D31" s="362"/>
      <c r="E31" s="361">
        <f>'Sources and Uses Budget'!S31</f>
        <v>2400000</v>
      </c>
      <c r="F31" s="362"/>
      <c r="G31" s="362"/>
      <c r="H31" s="361">
        <f>'Sources and Uses Budget'!T31</f>
        <v>0</v>
      </c>
      <c r="I31" s="362"/>
      <c r="J31" s="362"/>
      <c r="K31" s="359"/>
    </row>
    <row r="32" spans="1:11" s="360" customFormat="1">
      <c r="A32" s="145" t="s">
        <v>137</v>
      </c>
      <c r="B32" s="361">
        <f>'Sources and Uses Budget'!C32</f>
        <v>1200000</v>
      </c>
      <c r="C32" s="362"/>
      <c r="D32" s="362"/>
      <c r="E32" s="361">
        <f>'Sources and Uses Budget'!S32</f>
        <v>1200000</v>
      </c>
      <c r="F32" s="362"/>
      <c r="G32" s="362"/>
      <c r="H32" s="361">
        <f>'Sources and Uses Budget'!T32</f>
        <v>0</v>
      </c>
      <c r="I32" s="362"/>
      <c r="J32" s="362"/>
      <c r="K32" s="359"/>
    </row>
    <row r="33" spans="1:11" s="360" customFormat="1">
      <c r="A33" s="145" t="s">
        <v>138</v>
      </c>
      <c r="B33" s="361">
        <f>'Sources and Uses Budget'!C33</f>
        <v>2400000</v>
      </c>
      <c r="C33" s="362"/>
      <c r="D33" s="362"/>
      <c r="E33" s="361">
        <f>'Sources and Uses Budget'!S33</f>
        <v>2400000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768379</v>
      </c>
      <c r="C35" s="362"/>
      <c r="D35" s="362"/>
      <c r="E35" s="361">
        <f>'Sources and Uses Budget'!S35</f>
        <v>768379</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ht="24">
      <c r="A37" s="364" t="str">
        <f>'Sources and Uses Budget'!$A37</f>
        <v>Other: Hard Costs Outside of GC Contract</v>
      </c>
      <c r="B37" s="361">
        <f>'Sources and Uses Budget'!C37</f>
        <v>878400</v>
      </c>
      <c r="C37" s="362"/>
      <c r="D37" s="362"/>
      <c r="E37" s="361">
        <f>'Sources and Uses Budget'!S37</f>
        <v>561600</v>
      </c>
      <c r="F37" s="362"/>
      <c r="G37" s="362"/>
      <c r="H37" s="361">
        <f>'Sources and Uses Budget'!T37</f>
        <v>0</v>
      </c>
      <c r="I37" s="362"/>
      <c r="J37" s="362"/>
      <c r="K37" s="359"/>
    </row>
    <row r="38" spans="1:11" s="360" customFormat="1">
      <c r="A38" s="365" t="s">
        <v>143</v>
      </c>
      <c r="B38" s="361">
        <f>'Sources and Uses Budget'!C38</f>
        <v>66878400</v>
      </c>
      <c r="C38" s="361">
        <f>SUM(C29:C37)</f>
        <v>0</v>
      </c>
      <c r="D38" s="361">
        <f>SUM(D29:D37)</f>
        <v>0</v>
      </c>
      <c r="E38" s="361">
        <f>'Sources and Uses Budget'!S38</f>
        <v>66244800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1000000</v>
      </c>
      <c r="C40" s="362"/>
      <c r="D40" s="362"/>
      <c r="E40" s="361">
        <f>'Sources and Uses Budget'!S40</f>
        <v>1000000</v>
      </c>
      <c r="F40" s="362"/>
      <c r="G40" s="362"/>
      <c r="H40" s="361">
        <f>'Sources and Uses Budget'!T40</f>
        <v>0</v>
      </c>
      <c r="I40" s="362"/>
      <c r="J40" s="362"/>
      <c r="K40" s="359"/>
    </row>
    <row r="41" spans="1:11" s="360" customFormat="1">
      <c r="A41" s="364" t="s">
        <v>146</v>
      </c>
      <c r="B41" s="361">
        <f>'Sources and Uses Budget'!C41</f>
        <v>125000</v>
      </c>
      <c r="C41" s="362"/>
      <c r="D41" s="362"/>
      <c r="E41" s="361">
        <f>'Sources and Uses Budget'!S41</f>
        <v>125000</v>
      </c>
      <c r="F41" s="362"/>
      <c r="G41" s="362"/>
      <c r="H41" s="361">
        <f>'Sources and Uses Budget'!T41</f>
        <v>0</v>
      </c>
      <c r="I41" s="362"/>
      <c r="J41" s="362"/>
      <c r="K41" s="359"/>
    </row>
    <row r="42" spans="1:11" s="360" customFormat="1">
      <c r="A42" s="365" t="s">
        <v>147</v>
      </c>
      <c r="B42" s="361">
        <f>'Sources and Uses Budget'!C42</f>
        <v>1125000</v>
      </c>
      <c r="C42" s="361">
        <f>SUM(C39:C41)</f>
        <v>0</v>
      </c>
      <c r="D42" s="361">
        <f>SUM(D39:D41)</f>
        <v>0</v>
      </c>
      <c r="E42" s="361">
        <f>'Sources and Uses Budget'!S42</f>
        <v>1125000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365000</v>
      </c>
      <c r="C43" s="362"/>
      <c r="D43" s="362"/>
      <c r="E43" s="361">
        <f>'Sources and Uses Budget'!S43</f>
        <v>365000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9372987</v>
      </c>
      <c r="C45" s="362"/>
      <c r="D45" s="362"/>
      <c r="E45" s="361">
        <f>'Sources and Uses Budget'!S45</f>
        <v>7293121.54710472</v>
      </c>
      <c r="F45" s="362"/>
      <c r="G45" s="362"/>
      <c r="H45" s="361">
        <f>'Sources and Uses Budget'!T45</f>
        <v>0</v>
      </c>
      <c r="I45" s="362"/>
      <c r="J45" s="362"/>
      <c r="K45" s="359"/>
    </row>
    <row r="46" spans="1:11" s="360" customFormat="1">
      <c r="A46" s="364" t="s">
        <v>151</v>
      </c>
      <c r="B46" s="361">
        <f>'Sources and Uses Budget'!C46</f>
        <v>832893</v>
      </c>
      <c r="C46" s="362"/>
      <c r="D46" s="362"/>
      <c r="E46" s="361">
        <f>'Sources and Uses Budget'!S46</f>
        <v>832893</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2587200.0000000005</v>
      </c>
      <c r="C48" s="362"/>
      <c r="D48" s="362"/>
      <c r="E48" s="361">
        <f>'Sources and Uses Budget'!S48</f>
        <v>1724800.0000000002</v>
      </c>
      <c r="F48" s="362"/>
      <c r="G48" s="362"/>
      <c r="H48" s="361">
        <f>'Sources and Uses Budget'!T48</f>
        <v>0</v>
      </c>
      <c r="I48" s="362"/>
      <c r="J48" s="362"/>
      <c r="K48" s="359"/>
    </row>
    <row r="49" spans="1:11" s="360" customFormat="1">
      <c r="A49" s="283" t="s">
        <v>57</v>
      </c>
      <c r="B49" s="361">
        <f>'Sources and Uses Budget'!C49</f>
        <v>608380</v>
      </c>
      <c r="C49" s="362"/>
      <c r="D49" s="362"/>
      <c r="E49" s="361">
        <f>'Sources and Uses Budget'!S49</f>
        <v>608380</v>
      </c>
      <c r="F49" s="362"/>
      <c r="G49" s="362"/>
      <c r="H49" s="361">
        <f>'Sources and Uses Budget'!T49</f>
        <v>0</v>
      </c>
      <c r="I49" s="362"/>
      <c r="J49" s="362"/>
      <c r="K49" s="359"/>
    </row>
    <row r="50" spans="1:11" s="360" customFormat="1">
      <c r="A50" s="364" t="s">
        <v>156</v>
      </c>
      <c r="B50" s="361">
        <f>'Sources and Uses Budget'!C50</f>
        <v>176878</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82140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660000</v>
      </c>
      <c r="C52" s="362"/>
      <c r="D52" s="362"/>
      <c r="E52" s="361">
        <f>'Sources and Uses Budget'!S52</f>
        <v>660000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14320478</v>
      </c>
      <c r="C54" s="367">
        <f>SUM(C45:C53)</f>
        <v>0</v>
      </c>
      <c r="D54" s="367">
        <f>SUM(D45:D53)</f>
        <v>0</v>
      </c>
      <c r="E54" s="361">
        <f>'Sources and Uses Budget'!S54</f>
        <v>11119194.54710472</v>
      </c>
      <c r="F54" s="367">
        <f>SUM(F45:F53)</f>
        <v>0</v>
      </c>
      <c r="G54" s="367">
        <f>SUM(G45:G53)</f>
        <v>0</v>
      </c>
      <c r="H54" s="361">
        <f>'Sources and Uses Budget'!T54</f>
        <v>0</v>
      </c>
      <c r="I54" s="367">
        <f>SUM(I45:I53)</f>
        <v>0</v>
      </c>
      <c r="J54" s="367">
        <f>SUM(J45:J53)</f>
        <v>0</v>
      </c>
      <c r="K54" s="368"/>
    </row>
    <row r="55" spans="1:11" s="360" customFormat="1">
      <c r="A55" s="357" t="s">
        <v>416</v>
      </c>
      <c r="B55" s="358"/>
      <c r="C55" s="358"/>
      <c r="D55" s="358"/>
      <c r="E55" s="358"/>
      <c r="F55" s="358"/>
      <c r="G55" s="358"/>
      <c r="H55" s="358"/>
      <c r="I55" s="358"/>
      <c r="J55" s="358"/>
      <c r="K55" s="359"/>
    </row>
    <row r="56" spans="1:11" s="360" customFormat="1">
      <c r="A56" s="364" t="s">
        <v>158</v>
      </c>
      <c r="B56" s="361">
        <f>'Sources and Uses Budget'!C56</f>
        <v>387513</v>
      </c>
      <c r="C56" s="362"/>
      <c r="D56" s="362"/>
      <c r="E56" s="363"/>
      <c r="F56" s="363"/>
      <c r="G56" s="363"/>
      <c r="H56" s="363"/>
      <c r="I56" s="363"/>
      <c r="J56" s="363"/>
      <c r="K56" s="359"/>
    </row>
    <row r="57" spans="1:11" s="360" customFormat="1" ht="12" customHeight="1">
      <c r="A57" s="364" t="s">
        <v>152</v>
      </c>
      <c r="B57" s="361">
        <f>'Sources and Uses Budget'!C57</f>
        <v>10000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397513</v>
      </c>
      <c r="C62" s="361">
        <f>SUM(C56:C61)</f>
        <v>0</v>
      </c>
      <c r="D62" s="361">
        <f>SUM(D56:D61)</f>
        <v>0</v>
      </c>
      <c r="E62" s="363"/>
      <c r="F62" s="363"/>
      <c r="G62" s="363"/>
      <c r="H62" s="363"/>
      <c r="I62" s="363"/>
      <c r="J62" s="363"/>
      <c r="K62" s="359"/>
    </row>
    <row r="63" spans="1:11" s="360" customFormat="1">
      <c r="A63" s="370" t="s">
        <v>301</v>
      </c>
      <c r="B63" s="361">
        <f>'Sources and Uses Budget'!C63</f>
        <v>89786391</v>
      </c>
      <c r="C63" s="361">
        <f>SUM(C8+C11+C13+C14+C15+C26+C27+C38+C42+C43+C54+C62)</f>
        <v>0</v>
      </c>
      <c r="D63" s="361">
        <f>SUM(D8+D11+D13+D14+D15+D26+D27+D38+D42+D43+D54+D62)</f>
        <v>0</v>
      </c>
      <c r="E63" s="361">
        <f>'Sources and Uses Budget'!S63</f>
        <v>78853994.547104716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170</v>
      </c>
      <c r="B65" s="361">
        <f>'Sources and Uses Budget'!C65</f>
        <v>15000</v>
      </c>
      <c r="C65" s="362"/>
      <c r="D65" s="362"/>
      <c r="E65" s="361">
        <f>'Sources and Uses Budget'!S65</f>
        <v>15000</v>
      </c>
      <c r="F65" s="362"/>
      <c r="G65" s="362"/>
      <c r="H65" s="361">
        <f>'Sources and Uses Budget'!T65</f>
        <v>0</v>
      </c>
      <c r="I65" s="362"/>
      <c r="J65" s="362"/>
      <c r="K65" s="359"/>
    </row>
    <row r="66" spans="1:11" s="360" customFormat="1" ht="24">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Other: Lender Third Party / Financing / Legal Fees</v>
      </c>
      <c r="B69" s="361">
        <f>'Sources and Uses Budget'!C69</f>
        <v>527100</v>
      </c>
      <c r="C69" s="362"/>
      <c r="D69" s="362"/>
      <c r="E69" s="361">
        <f>'Sources and Uses Budget'!S69</f>
        <v>51850</v>
      </c>
      <c r="F69" s="362"/>
      <c r="G69" s="362"/>
      <c r="H69" s="361">
        <f>'Sources and Uses Budget'!T69</f>
        <v>0</v>
      </c>
      <c r="I69" s="362"/>
      <c r="J69" s="362"/>
      <c r="K69" s="359"/>
    </row>
    <row r="70" spans="1:11" s="360" customFormat="1">
      <c r="A70" s="365" t="s">
        <v>599</v>
      </c>
      <c r="B70" s="361">
        <f>'Sources and Uses Budget'!C70</f>
        <v>542100</v>
      </c>
      <c r="C70" s="361">
        <f>SUM(C64:C69)</f>
        <v>0</v>
      </c>
      <c r="D70" s="361">
        <f>SUM(D64:D69)</f>
        <v>0</v>
      </c>
      <c r="E70" s="361">
        <f>'Sources and Uses Budget'!S70</f>
        <v>66850</v>
      </c>
      <c r="F70" s="367">
        <f>SUM(F65:F69)</f>
        <v>0</v>
      </c>
      <c r="G70" s="367">
        <f>SUM(G65:G69)</f>
        <v>0</v>
      </c>
      <c r="H70" s="361">
        <f>'Sources and Uses Budget'!T70</f>
        <v>0</v>
      </c>
      <c r="I70" s="367">
        <f>SUM(I65:I69)</f>
        <v>0</v>
      </c>
      <c r="J70" s="367">
        <f>SUM(J65:J69)</f>
        <v>0</v>
      </c>
      <c r="K70" s="359"/>
    </row>
    <row r="71" spans="1:11" s="360" customFormat="1">
      <c r="A71" s="357" t="s">
        <v>600</v>
      </c>
      <c r="B71" s="358"/>
      <c r="C71" s="358"/>
      <c r="D71" s="358"/>
      <c r="E71" s="358"/>
      <c r="F71" s="358"/>
      <c r="G71" s="358"/>
      <c r="H71" s="358"/>
      <c r="I71" s="358"/>
      <c r="J71" s="358"/>
      <c r="K71" s="359"/>
    </row>
    <row r="72" spans="1:11" s="360" customFormat="1">
      <c r="A72" s="364" t="s">
        <v>601</v>
      </c>
      <c r="B72" s="361">
        <f>'Sources and Uses Budget'!C72</f>
        <v>0</v>
      </c>
      <c r="C72" s="362"/>
      <c r="D72" s="362"/>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603</v>
      </c>
      <c r="B75" s="361">
        <f>'Sources and Uses Budget'!C75</f>
        <v>1172117</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604</v>
      </c>
      <c r="B77" s="361">
        <f>'Sources and Uses Budget'!C77</f>
        <v>1172117</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3300000</v>
      </c>
      <c r="C79" s="362"/>
      <c r="D79" s="362"/>
      <c r="E79" s="361">
        <f>'Sources and Uses Budget'!S79</f>
        <v>3300000</v>
      </c>
      <c r="F79" s="362"/>
      <c r="G79" s="362"/>
      <c r="H79" s="361">
        <f>'Sources and Uses Budget'!T79</f>
        <v>0</v>
      </c>
      <c r="I79" s="362"/>
      <c r="J79" s="362"/>
      <c r="K79" s="359"/>
    </row>
    <row r="80" spans="1:11" s="360" customFormat="1">
      <c r="A80" s="364" t="s">
        <v>58</v>
      </c>
      <c r="B80" s="361">
        <f>'Sources and Uses Budget'!C80</f>
        <v>300000</v>
      </c>
      <c r="C80" s="362"/>
      <c r="D80" s="362"/>
      <c r="E80" s="361">
        <f>'Sources and Uses Budget'!S80</f>
        <v>300000</v>
      </c>
      <c r="F80" s="362"/>
      <c r="G80" s="362"/>
      <c r="H80" s="361">
        <f>'Sources and Uses Budget'!T80</f>
        <v>0</v>
      </c>
      <c r="I80" s="362"/>
      <c r="J80" s="362"/>
      <c r="K80" s="359"/>
    </row>
    <row r="81" spans="1:11" s="360" customFormat="1">
      <c r="A81" s="365" t="s">
        <v>1207</v>
      </c>
      <c r="B81" s="361">
        <f>'Sources and Uses Budget'!C81</f>
        <v>3600000</v>
      </c>
      <c r="C81" s="361">
        <f>SUM(C79:C80)</f>
        <v>0</v>
      </c>
      <c r="D81" s="361">
        <f>SUM(D79:D80)</f>
        <v>0</v>
      </c>
      <c r="E81" s="361">
        <f>'Sources and Uses Budget'!S81</f>
        <v>3600000</v>
      </c>
      <c r="F81" s="361">
        <f>SUM(F79:F80)</f>
        <v>0</v>
      </c>
      <c r="G81" s="361">
        <f>SUM(G79:G80)</f>
        <v>0</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7" customHeight="1">
      <c r="A83" s="145" t="s">
        <v>2047</v>
      </c>
      <c r="B83" s="361">
        <f>'Sources and Uses Budget'!C83</f>
        <v>283788</v>
      </c>
      <c r="C83" s="362"/>
      <c r="D83" s="362"/>
      <c r="E83" s="363"/>
      <c r="F83" s="363"/>
      <c r="G83" s="363"/>
      <c r="H83" s="363"/>
      <c r="I83" s="363"/>
      <c r="J83" s="363"/>
      <c r="K83" s="359"/>
    </row>
    <row r="84" spans="1:11" s="360" customFormat="1">
      <c r="A84" s="145" t="s">
        <v>765</v>
      </c>
      <c r="B84" s="361">
        <f>'Sources and Uses Budget'!C84</f>
        <v>40000</v>
      </c>
      <c r="C84" s="362"/>
      <c r="D84" s="362"/>
      <c r="E84" s="361">
        <f>'Sources and Uses Budget'!S84</f>
        <v>40000</v>
      </c>
      <c r="F84" s="362"/>
      <c r="G84" s="362"/>
      <c r="H84" s="361">
        <f>'Sources and Uses Budget'!T84</f>
        <v>0</v>
      </c>
      <c r="I84" s="362"/>
      <c r="J84" s="362"/>
      <c r="K84" s="359"/>
    </row>
    <row r="85" spans="1:11" s="360" customFormat="1">
      <c r="A85" s="145" t="s">
        <v>766</v>
      </c>
      <c r="B85" s="361">
        <f>'Sources and Uses Budget'!C85</f>
        <v>6685570</v>
      </c>
      <c r="C85" s="362"/>
      <c r="D85" s="362"/>
      <c r="E85" s="361">
        <f>'Sources and Uses Budget'!S85</f>
        <v>6685570</v>
      </c>
      <c r="F85" s="362"/>
      <c r="G85" s="362"/>
      <c r="H85" s="361">
        <f>'Sources and Uses Budget'!T85</f>
        <v>0</v>
      </c>
      <c r="I85" s="362"/>
      <c r="J85" s="362"/>
      <c r="K85" s="359"/>
    </row>
    <row r="86" spans="1:11" s="360" customFormat="1">
      <c r="A86" s="145" t="s">
        <v>767</v>
      </c>
      <c r="B86" s="361">
        <f>'Sources and Uses Budget'!C86</f>
        <v>600000</v>
      </c>
      <c r="C86" s="362"/>
      <c r="D86" s="362"/>
      <c r="E86" s="361">
        <f>'Sources and Uses Budget'!S86</f>
        <v>600000</v>
      </c>
      <c r="F86" s="362"/>
      <c r="G86" s="362"/>
      <c r="H86" s="361">
        <f>'Sources and Uses Budget'!T86</f>
        <v>0</v>
      </c>
      <c r="I86" s="362"/>
      <c r="J86" s="362"/>
      <c r="K86" s="359"/>
    </row>
    <row r="87" spans="1:11" s="360" customFormat="1">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769</v>
      </c>
      <c r="B88" s="361">
        <f>'Sources and Uses Budget'!C88</f>
        <v>138826</v>
      </c>
      <c r="C88" s="362"/>
      <c r="D88" s="362"/>
      <c r="E88" s="363"/>
      <c r="F88" s="363"/>
      <c r="G88" s="363"/>
      <c r="H88" s="363"/>
      <c r="I88" s="363"/>
      <c r="J88" s="363"/>
      <c r="K88" s="359"/>
    </row>
    <row r="89" spans="1:11" s="360" customFormat="1">
      <c r="A89" s="145" t="s">
        <v>770</v>
      </c>
      <c r="B89" s="361">
        <f>'Sources and Uses Budget'!C89</f>
        <v>360000</v>
      </c>
      <c r="C89" s="362"/>
      <c r="D89" s="362"/>
      <c r="E89" s="361">
        <f>'Sources and Uses Budget'!S89</f>
        <v>360000</v>
      </c>
      <c r="F89" s="362"/>
      <c r="G89" s="362"/>
      <c r="H89" s="361">
        <f>'Sources and Uses Budget'!T89</f>
        <v>0</v>
      </c>
      <c r="I89" s="362"/>
      <c r="J89" s="362"/>
      <c r="K89" s="359"/>
    </row>
    <row r="90" spans="1:11" s="360" customFormat="1">
      <c r="A90" s="145" t="s">
        <v>771</v>
      </c>
      <c r="B90" s="361">
        <f>'Sources and Uses Budget'!C90</f>
        <v>7500</v>
      </c>
      <c r="C90" s="362"/>
      <c r="D90" s="362"/>
      <c r="E90" s="361">
        <f>'Sources and Uses Budget'!S90</f>
        <v>7500</v>
      </c>
      <c r="F90" s="362"/>
      <c r="G90" s="362"/>
      <c r="H90" s="361">
        <f>'Sources and Uses Budget'!T90</f>
        <v>0</v>
      </c>
      <c r="I90" s="362"/>
      <c r="J90" s="362"/>
      <c r="K90" s="359"/>
    </row>
    <row r="91" spans="1:11" s="360" customFormat="1">
      <c r="A91" s="155" t="s">
        <v>370</v>
      </c>
      <c r="B91" s="361">
        <f>'Sources and Uses Budget'!C91</f>
        <v>15000</v>
      </c>
      <c r="C91" s="362"/>
      <c r="D91" s="362"/>
      <c r="E91" s="361">
        <f>'Sources and Uses Budget'!S91</f>
        <v>0</v>
      </c>
      <c r="F91" s="362"/>
      <c r="G91" s="362"/>
      <c r="H91" s="361">
        <f>'Sources and Uses Budget'!T91</f>
        <v>0</v>
      </c>
      <c r="I91" s="362"/>
      <c r="J91" s="362"/>
      <c r="K91" s="359"/>
    </row>
    <row r="92" spans="1:11" s="360" customFormat="1">
      <c r="A92" s="508" t="s">
        <v>1209</v>
      </c>
      <c r="B92" s="361">
        <f>'Sources and Uses Budget'!C92</f>
        <v>7500</v>
      </c>
      <c r="C92" s="362"/>
      <c r="D92" s="362"/>
      <c r="E92" s="361">
        <f>'Sources and Uses Budget'!S92</f>
        <v>7500</v>
      </c>
      <c r="F92" s="362"/>
      <c r="G92" s="362"/>
      <c r="H92" s="361">
        <f>'Sources and Uses Budget'!T92</f>
        <v>0</v>
      </c>
      <c r="I92" s="362"/>
      <c r="J92" s="362"/>
      <c r="K92" s="359"/>
    </row>
    <row r="93" spans="1:11" s="360" customFormat="1">
      <c r="A93" s="364" t="str">
        <f>'Sources and Uses Budget'!$A93</f>
        <v>Other: Borrower Counsel</v>
      </c>
      <c r="B93" s="361">
        <f>'Sources and Uses Budget'!C93</f>
        <v>250000</v>
      </c>
      <c r="C93" s="362"/>
      <c r="D93" s="362"/>
      <c r="E93" s="361">
        <f>'Sources and Uses Budget'!S93</f>
        <v>240475</v>
      </c>
      <c r="F93" s="362"/>
      <c r="G93" s="362"/>
      <c r="H93" s="361">
        <f>'Sources and Uses Budget'!T93</f>
        <v>0</v>
      </c>
      <c r="I93" s="362"/>
      <c r="J93" s="362"/>
      <c r="K93" s="359"/>
    </row>
    <row r="94" spans="1:11" s="360" customFormat="1">
      <c r="A94" s="364" t="str">
        <f>'Sources and Uses Budget'!$A94</f>
        <v>Other: Third Party Reports</v>
      </c>
      <c r="B94" s="361">
        <f>'Sources and Uses Budget'!C94</f>
        <v>320000</v>
      </c>
      <c r="C94" s="362"/>
      <c r="D94" s="362"/>
      <c r="E94" s="361">
        <f>'Sources and Uses Budget'!S94</f>
        <v>320000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8708184</v>
      </c>
      <c r="C96" s="361">
        <f>SUM(C83:C95)</f>
        <v>0</v>
      </c>
      <c r="D96" s="361">
        <f>SUM(D83:D95)</f>
        <v>0</v>
      </c>
      <c r="E96" s="361">
        <f>'Sources and Uses Budget'!S96</f>
        <v>8261045</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103808792</v>
      </c>
      <c r="C97" s="361">
        <f>SUM(C63+C70+C77+C81+C96)</f>
        <v>0</v>
      </c>
      <c r="D97" s="361">
        <f>SUM(D63+D70+D77+D81+D96)</f>
        <v>0</v>
      </c>
      <c r="E97" s="361">
        <f>'Sources and Uses Budget'!S97</f>
        <v>90781889.547104716</v>
      </c>
      <c r="F97" s="367">
        <f>SUM(+F63+F70+F81+F96)</f>
        <v>0</v>
      </c>
      <c r="G97" s="367">
        <f>SUM(+G63+G70+G81+G96)</f>
        <v>0</v>
      </c>
      <c r="H97" s="361">
        <f>'Sources and Uses Budget'!T97</f>
        <v>0</v>
      </c>
      <c r="I97" s="367">
        <f>SUM(I63+I70+I81+I96)</f>
        <v>0</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'Sources and Uses Budget'!C99</f>
        <v>12540307</v>
      </c>
      <c r="C99" s="362"/>
      <c r="D99" s="362"/>
      <c r="E99" s="361">
        <f>'Sources and Uses Budget'!S99</f>
        <v>12540307</v>
      </c>
      <c r="F99" s="362"/>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1076976</v>
      </c>
      <c r="C102" s="362"/>
      <c r="D102" s="362"/>
      <c r="E102" s="361">
        <f>'Sources and Uses Budget'!S102</f>
        <v>1076976</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13617283</v>
      </c>
      <c r="C104" s="361">
        <f>SUM(C99:C103)</f>
        <v>0</v>
      </c>
      <c r="D104" s="361">
        <f>SUM(D99:D103)</f>
        <v>0</v>
      </c>
      <c r="E104" s="361">
        <f>'Sources and Uses Budget'!S104</f>
        <v>13617283</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117426075</v>
      </c>
      <c r="C105" s="367">
        <f>SUM(C97+C104)</f>
        <v>0</v>
      </c>
      <c r="D105" s="367">
        <f>SUM(D97+D104)</f>
        <v>0</v>
      </c>
      <c r="E105" s="361">
        <f>'Sources and Uses Budget'!S105</f>
        <v>104399172.54710472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373</v>
      </c>
      <c r="E107" s="361">
        <f>'Sources and Uses Budget'!S107</f>
        <v>104399172.54710472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8"/>
      <c r="E124" s="1847"/>
      <c r="F124" s="1847"/>
      <c r="G124" s="1847"/>
      <c r="H124" s="1847"/>
      <c r="I124" s="1847"/>
      <c r="J124" s="376"/>
      <c r="K124" s="359"/>
    </row>
    <row r="125" spans="1:11" s="360" customFormat="1" ht="12.75">
      <c r="A125" s="385"/>
      <c r="B125" s="384"/>
      <c r="C125" s="385"/>
      <c r="D125" s="1847"/>
      <c r="E125" s="1847"/>
      <c r="F125" s="1847"/>
      <c r="G125" s="1847"/>
      <c r="H125" s="1847"/>
      <c r="I125" s="1847"/>
      <c r="J125" s="376"/>
      <c r="K125" s="359"/>
    </row>
    <row r="126" spans="1:11" s="360" customFormat="1" ht="12.75">
      <c r="A126" s="385"/>
      <c r="B126" s="384"/>
      <c r="C126" s="385"/>
      <c r="D126" s="1847"/>
      <c r="E126" s="1847"/>
      <c r="F126" s="1847"/>
      <c r="G126" s="1847"/>
      <c r="H126" s="1847"/>
      <c r="I126" s="184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847"/>
      <c r="C139" s="1847"/>
      <c r="D139" s="356"/>
      <c r="E139" s="385"/>
      <c r="F139" s="385"/>
      <c r="G139" s="385"/>
    </row>
    <row r="140" spans="1:11" ht="12" customHeight="1">
      <c r="A140" s="1820"/>
      <c r="B140" s="1820"/>
      <c r="C140" s="182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sqref="A1:BE1"/>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9" t="s">
        <v>2386</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2385</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3" t="s">
        <v>2586</v>
      </c>
      <c r="AY3" s="2174"/>
      <c r="AZ3" s="2174"/>
      <c r="BA3" s="2325"/>
      <c r="BB3" s="2173" t="s">
        <v>2587</v>
      </c>
      <c r="BC3" s="2174"/>
      <c r="BD3" s="2174"/>
      <c r="BE3" s="2325"/>
    </row>
    <row r="4" spans="1:65" ht="15.75" customHeight="1" thickBot="1">
      <c r="A4" s="1207"/>
      <c r="B4" s="1209" t="s">
        <v>654</v>
      </c>
      <c r="C4" s="1209"/>
      <c r="D4" s="1209"/>
      <c r="E4" s="1209"/>
      <c r="F4" s="1209"/>
      <c r="G4" s="1208"/>
      <c r="H4" s="1208"/>
      <c r="I4" s="1208"/>
      <c r="J4" s="1208"/>
      <c r="K4" s="1208"/>
      <c r="L4" s="2316" t="str">
        <f>IF(Application!H18="","",Application!H18)</f>
        <v>Avenue 42 Apartments</v>
      </c>
      <c r="M4" s="2317"/>
      <c r="N4" s="2317"/>
      <c r="O4" s="2317"/>
      <c r="P4" s="2317"/>
      <c r="Q4" s="2317"/>
      <c r="R4" s="2317"/>
      <c r="S4" s="2317"/>
      <c r="T4" s="2317"/>
      <c r="U4" s="2317"/>
      <c r="V4" s="2317"/>
      <c r="W4" s="2317"/>
      <c r="X4" s="2317"/>
      <c r="Y4" s="2317"/>
      <c r="Z4" s="2317"/>
      <c r="AA4" s="2317"/>
      <c r="AB4" s="2317"/>
      <c r="AC4" s="2318"/>
      <c r="AD4" s="1208"/>
      <c r="AE4" s="1208"/>
      <c r="AF4" s="2305" t="s">
        <v>2384</v>
      </c>
      <c r="AG4" s="2305"/>
      <c r="AH4" s="2305"/>
      <c r="AI4" s="2305"/>
      <c r="AJ4" s="2305"/>
      <c r="AK4" s="2305"/>
      <c r="AL4" s="2305"/>
      <c r="AM4" s="2305"/>
      <c r="AN4" s="2305"/>
      <c r="AO4" s="2305"/>
      <c r="AP4" s="2306"/>
      <c r="AQ4" s="2307"/>
      <c r="AR4" s="2307"/>
      <c r="AS4" s="2307"/>
      <c r="AT4" s="2307"/>
      <c r="AU4" s="2307"/>
      <c r="AV4" s="1208"/>
      <c r="AW4" s="1208"/>
      <c r="AX4" s="2313" t="s">
        <v>2588</v>
      </c>
      <c r="AY4" s="2314"/>
      <c r="AZ4" s="2314"/>
      <c r="BA4" s="2315"/>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5" t="s">
        <v>2383</v>
      </c>
      <c r="AG5" s="2305"/>
      <c r="AH5" s="2305"/>
      <c r="AI5" s="2305"/>
      <c r="AJ5" s="2305"/>
      <c r="AK5" s="2305"/>
      <c r="AL5" s="2305"/>
      <c r="AM5" s="2305"/>
      <c r="AN5" s="2305"/>
      <c r="AO5" s="2305"/>
      <c r="AP5" s="2306"/>
      <c r="AQ5" s="2307"/>
      <c r="AR5" s="2307"/>
      <c r="AS5" s="2307"/>
      <c r="AT5" s="2307"/>
      <c r="AU5" s="2307"/>
      <c r="AV5" s="1208"/>
      <c r="AW5" s="1208"/>
      <c r="AX5" s="2313" t="s">
        <v>2589</v>
      </c>
      <c r="AY5" s="2314"/>
      <c r="AZ5" s="2314"/>
      <c r="BA5" s="2315"/>
      <c r="BB5" s="1210">
        <f t="array" ref="BB5">ROUNDDOWN(SUM(IF((B19:I27&gt;0%)*(B19:I27&lt;=50%),J19:O27,0))/J29,2)</f>
        <v>0.2</v>
      </c>
      <c r="BC5" s="1211"/>
      <c r="BD5" s="1211"/>
      <c r="BE5" s="1212"/>
    </row>
    <row r="6" spans="1:65" ht="15.75" customHeight="1" thickBot="1">
      <c r="A6" s="1207"/>
      <c r="B6" s="1209" t="s">
        <v>2382</v>
      </c>
      <c r="C6" s="1208"/>
      <c r="D6" s="1208"/>
      <c r="E6" s="1208"/>
      <c r="F6" s="1208"/>
      <c r="G6" s="1208"/>
      <c r="H6" s="1208"/>
      <c r="I6" s="1208"/>
      <c r="J6" s="1208"/>
      <c r="K6" s="1208"/>
      <c r="L6" s="2316" t="str">
        <f>IF(Application!H16="","",Application!H16)</f>
        <v>Avenue 42 Apartments LP</v>
      </c>
      <c r="M6" s="2317"/>
      <c r="N6" s="2317"/>
      <c r="O6" s="2317"/>
      <c r="P6" s="2317"/>
      <c r="Q6" s="2317"/>
      <c r="R6" s="2317"/>
      <c r="S6" s="2317"/>
      <c r="T6" s="2317"/>
      <c r="U6" s="2317"/>
      <c r="V6" s="2317"/>
      <c r="W6" s="2317"/>
      <c r="X6" s="2317"/>
      <c r="Y6" s="2317"/>
      <c r="Z6" s="2317"/>
      <c r="AA6" s="2317"/>
      <c r="AB6" s="2317"/>
      <c r="AC6" s="2318"/>
      <c r="AD6" s="1208"/>
      <c r="AE6" s="1208"/>
      <c r="AF6" s="2308" t="s">
        <v>2381</v>
      </c>
      <c r="AG6" s="2308"/>
      <c r="AH6" s="2308"/>
      <c r="AI6" s="2308"/>
      <c r="AJ6" s="2308"/>
      <c r="AK6" s="2308"/>
      <c r="AL6" s="2308"/>
      <c r="AM6" s="2308"/>
      <c r="AN6" s="2308"/>
      <c r="AO6" s="2308"/>
      <c r="AP6" s="2309"/>
      <c r="AQ6" s="2309"/>
      <c r="AR6" s="2309"/>
      <c r="AS6" s="2309"/>
      <c r="AT6" s="2309"/>
      <c r="AU6" s="2309"/>
      <c r="AV6" s="1208"/>
      <c r="AW6" s="1208"/>
      <c r="AX6" s="2313" t="s">
        <v>2590</v>
      </c>
      <c r="AY6" s="2314"/>
      <c r="AZ6" s="2314"/>
      <c r="BA6" s="2315"/>
      <c r="BB6" s="1210">
        <f t="array" ref="BB6">ROUNDDOWN(SUM(IF((B19:I27&gt;60%)*(B19:I27&lt;=80%),J19:O27,0))/J29,2)</f>
        <v>0.15</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8" t="s">
        <v>2380</v>
      </c>
      <c r="AG7" s="2308"/>
      <c r="AH7" s="2308"/>
      <c r="AI7" s="2308"/>
      <c r="AJ7" s="2308"/>
      <c r="AK7" s="2308"/>
      <c r="AL7" s="2308"/>
      <c r="AM7" s="2308"/>
      <c r="AN7" s="2308"/>
      <c r="AO7" s="2308"/>
      <c r="AP7" s="2309"/>
      <c r="AQ7" s="2309"/>
      <c r="AR7" s="2309"/>
      <c r="AS7" s="2309"/>
      <c r="AT7" s="2309"/>
      <c r="AU7" s="2309"/>
      <c r="AV7" s="1208"/>
      <c r="AW7" s="1208"/>
      <c r="AX7" s="1208"/>
      <c r="AY7" s="1208"/>
      <c r="AZ7" s="1208"/>
      <c r="BA7" s="1208"/>
      <c r="BB7" s="1208"/>
      <c r="BC7" s="1208"/>
      <c r="BD7" s="1208"/>
      <c r="BE7" s="1213"/>
    </row>
    <row r="8" spans="1:65" thickBot="1">
      <c r="A8" s="1207"/>
      <c r="B8" s="1209" t="s">
        <v>2627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0" t="str">
        <f>Application!T197</f>
        <v>No</v>
      </c>
      <c r="AC8" s="2311"/>
      <c r="AD8" s="2312"/>
      <c r="AE8" s="1208"/>
      <c r="AF8" s="2308" t="s">
        <v>2379</v>
      </c>
      <c r="AG8" s="2308"/>
      <c r="AH8" s="2308"/>
      <c r="AI8" s="2308"/>
      <c r="AJ8" s="2308"/>
      <c r="AK8" s="2308"/>
      <c r="AL8" s="2308"/>
      <c r="AM8" s="2308"/>
      <c r="AN8" s="2308"/>
      <c r="AO8" s="2308"/>
      <c r="AP8" s="2309" t="s">
        <v>2051</v>
      </c>
      <c r="AQ8" s="2309"/>
      <c r="AR8" s="2309"/>
      <c r="AS8" s="2309"/>
      <c r="AT8" s="2309"/>
      <c r="AU8" s="2309"/>
      <c r="AV8" s="1208"/>
      <c r="AW8" s="1208"/>
      <c r="AX8" s="1208"/>
      <c r="AY8" s="1208"/>
      <c r="AZ8" s="1208"/>
      <c r="BA8" s="1208"/>
      <c r="BB8" s="1208"/>
      <c r="BC8" s="1208"/>
      <c r="BD8" s="1208"/>
      <c r="BE8" s="1213"/>
      <c r="BM8" s="1204" t="s">
        <v>1954</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5" t="s">
        <v>2378</v>
      </c>
      <c r="AG9" s="2305"/>
      <c r="AH9" s="2305"/>
      <c r="AI9" s="2305"/>
      <c r="AJ9" s="2305"/>
      <c r="AK9" s="2305"/>
      <c r="AL9" s="2305"/>
      <c r="AM9" s="2305"/>
      <c r="AN9" s="2305"/>
      <c r="AO9" s="2305"/>
      <c r="AP9" s="2306"/>
      <c r="AQ9" s="2307"/>
      <c r="AR9" s="2307"/>
      <c r="AS9" s="2307"/>
      <c r="AT9" s="2307"/>
      <c r="AU9" s="2307"/>
      <c r="AV9" s="1208"/>
      <c r="AW9" s="1208"/>
      <c r="AX9" s="1208"/>
      <c r="AY9" s="1208"/>
      <c r="AZ9" s="1208"/>
      <c r="BA9" s="1208"/>
      <c r="BB9" s="1208"/>
      <c r="BC9" s="1208"/>
      <c r="BD9" s="1208"/>
      <c r="BE9" s="1213"/>
      <c r="BM9" s="1204" t="s">
        <v>2377</v>
      </c>
    </row>
    <row r="10" spans="1:65" ht="15">
      <c r="A10" s="1207"/>
      <c r="B10" s="1209" t="s">
        <v>2376</v>
      </c>
      <c r="C10" s="1209"/>
      <c r="D10" s="1209"/>
      <c r="E10" s="1209"/>
      <c r="F10" s="1209"/>
      <c r="G10" s="1209"/>
      <c r="H10" s="1209"/>
      <c r="I10" s="1209"/>
      <c r="J10" s="1209"/>
      <c r="K10" s="1209"/>
      <c r="L10" s="1209"/>
      <c r="M10" s="1208"/>
      <c r="N10" s="2304">
        <f>Application!AO635</f>
        <v>30800000</v>
      </c>
      <c r="O10" s="2304"/>
      <c r="P10" s="2304"/>
      <c r="Q10" s="2304"/>
      <c r="R10" s="2304"/>
      <c r="S10" s="2304"/>
      <c r="T10" s="2304"/>
      <c r="U10" s="1208"/>
      <c r="V10" s="1208"/>
      <c r="W10" s="1208"/>
      <c r="X10" s="1214"/>
      <c r="Y10" s="1214"/>
      <c r="Z10" s="1214"/>
      <c r="AA10" s="1214"/>
      <c r="AB10" s="1214"/>
      <c r="AC10" s="1214"/>
      <c r="AD10" s="1214"/>
      <c r="AE10" s="1214"/>
      <c r="AF10" s="2305" t="s">
        <v>2375</v>
      </c>
      <c r="AG10" s="2305"/>
      <c r="AH10" s="2305"/>
      <c r="AI10" s="2305"/>
      <c r="AJ10" s="2305"/>
      <c r="AK10" s="2305"/>
      <c r="AL10" s="2305"/>
      <c r="AM10" s="2305"/>
      <c r="AN10" s="2305"/>
      <c r="AO10" s="2305"/>
      <c r="AP10" s="2306"/>
      <c r="AQ10" s="2307"/>
      <c r="AR10" s="2307"/>
      <c r="AS10" s="2307"/>
      <c r="AT10" s="2307"/>
      <c r="AU10" s="2307"/>
      <c r="AV10" s="1214"/>
      <c r="AW10" s="1214"/>
      <c r="AX10" s="1208"/>
      <c r="AY10" s="1208"/>
      <c r="AZ10" s="1208"/>
      <c r="BA10" s="1208"/>
      <c r="BB10" s="1208"/>
      <c r="BC10" s="1208"/>
      <c r="BD10" s="1208"/>
      <c r="BE10" s="1213"/>
      <c r="BM10" s="1204" t="s">
        <v>2374</v>
      </c>
    </row>
    <row r="11" spans="1:65" ht="15">
      <c r="A11" s="1207"/>
      <c r="B11" s="1209" t="s">
        <v>2373</v>
      </c>
      <c r="C11" s="1209"/>
      <c r="D11" s="1209"/>
      <c r="E11" s="1209"/>
      <c r="F11" s="1209"/>
      <c r="G11" s="1209"/>
      <c r="H11" s="1209"/>
      <c r="I11" s="1209"/>
      <c r="J11" s="1209"/>
      <c r="K11" s="1209"/>
      <c r="L11" s="1209"/>
      <c r="M11" s="1208"/>
      <c r="N11" s="2304">
        <f>Application!AA943</f>
        <v>0</v>
      </c>
      <c r="O11" s="2304"/>
      <c r="P11" s="2304"/>
      <c r="Q11" s="2304"/>
      <c r="R11" s="2304"/>
      <c r="S11" s="2304"/>
      <c r="T11" s="2304"/>
      <c r="U11" s="1208"/>
      <c r="V11" s="1208"/>
      <c r="W11" s="1208"/>
      <c r="X11" s="1214"/>
      <c r="Y11" s="1214"/>
      <c r="Z11" s="1214"/>
      <c r="AA11" s="1214"/>
      <c r="AB11" s="1214"/>
      <c r="AC11" s="1214"/>
      <c r="AD11" s="1214"/>
      <c r="AE11" s="1214"/>
      <c r="AF11" s="2305" t="s">
        <v>2372</v>
      </c>
      <c r="AG11" s="2305"/>
      <c r="AH11" s="2305"/>
      <c r="AI11" s="2305"/>
      <c r="AJ11" s="2305"/>
      <c r="AK11" s="2305"/>
      <c r="AL11" s="2305"/>
      <c r="AM11" s="2305"/>
      <c r="AN11" s="2305"/>
      <c r="AO11" s="2305"/>
      <c r="AP11" s="2306"/>
      <c r="AQ11" s="2307"/>
      <c r="AR11" s="2307"/>
      <c r="AS11" s="2307"/>
      <c r="AT11" s="2307"/>
      <c r="AU11" s="2307"/>
      <c r="AV11" s="1214"/>
      <c r="AW11" s="1214"/>
      <c r="AX11" s="1208"/>
      <c r="AY11" s="1208"/>
      <c r="AZ11" s="1208"/>
      <c r="BA11" s="1208"/>
      <c r="BB11" s="1208"/>
      <c r="BC11" s="1208"/>
      <c r="BD11" s="1208"/>
      <c r="BE11" s="1213"/>
      <c r="BM11" s="1204" t="s">
        <v>2051</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2371</v>
      </c>
    </row>
    <row r="13" spans="1:65" thickBot="1">
      <c r="A13" s="1208"/>
      <c r="B13" s="2295" t="s">
        <v>2370</v>
      </c>
      <c r="C13" s="2296"/>
      <c r="D13" s="2296"/>
      <c r="E13" s="2296"/>
      <c r="F13" s="2296"/>
      <c r="G13" s="2296"/>
      <c r="H13" s="2296"/>
      <c r="I13" s="2296"/>
      <c r="J13" s="2296"/>
      <c r="K13" s="2296"/>
      <c r="L13" s="2296"/>
      <c r="M13" s="2296"/>
      <c r="N13" s="2296"/>
      <c r="O13" s="2296"/>
      <c r="P13" s="2297"/>
      <c r="Q13" s="2298" t="s">
        <v>667</v>
      </c>
      <c r="R13" s="2299"/>
      <c r="S13" s="2299"/>
      <c r="T13" s="2300"/>
      <c r="U13" s="1214"/>
      <c r="V13" s="1208"/>
      <c r="W13" s="1208"/>
      <c r="X13" s="1208"/>
      <c r="Y13" s="1208"/>
      <c r="Z13" s="1208"/>
      <c r="AA13" s="2285" t="s">
        <v>2369</v>
      </c>
      <c r="AB13" s="2285"/>
      <c r="AC13" s="2285"/>
      <c r="AD13" s="2285"/>
      <c r="AE13" s="2285"/>
      <c r="AF13" s="2285"/>
      <c r="AG13" s="2285"/>
      <c r="AH13" s="2285"/>
      <c r="AI13" s="2285"/>
      <c r="AJ13" s="2285"/>
      <c r="AK13" s="2285"/>
      <c r="AL13" s="2285"/>
      <c r="AM13" s="2285"/>
      <c r="AN13" s="2285"/>
      <c r="AO13" s="2301">
        <f>Application!W481</f>
        <v>36</v>
      </c>
      <c r="AP13" s="2302"/>
      <c r="AQ13" s="2302"/>
      <c r="AR13" s="2302"/>
      <c r="AS13" s="2302"/>
      <c r="AT13" s="1214"/>
      <c r="AU13" s="1214"/>
      <c r="AV13" s="1214"/>
      <c r="AW13" s="1214"/>
      <c r="AX13" s="1214"/>
      <c r="AY13" s="1214"/>
      <c r="AZ13" s="1214"/>
      <c r="BA13" s="1214"/>
      <c r="BB13" s="1214"/>
      <c r="BC13" s="1214"/>
      <c r="BD13" s="1214"/>
      <c r="BE13" s="1215"/>
      <c r="BM13" s="1204" t="s">
        <v>2368</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3" t="s">
        <v>2367</v>
      </c>
      <c r="AB14" s="2303"/>
      <c r="AC14" s="2303"/>
      <c r="AD14" s="2303"/>
      <c r="AE14" s="2303"/>
      <c r="AF14" s="2303"/>
      <c r="AG14" s="2303"/>
      <c r="AH14" s="2303"/>
      <c r="AI14" s="2303"/>
      <c r="AJ14" s="2303"/>
      <c r="AK14" s="2303"/>
      <c r="AL14" s="2303"/>
      <c r="AM14" s="2303"/>
      <c r="AN14" s="2303"/>
      <c r="AO14" s="2286"/>
      <c r="AP14" s="2287"/>
      <c r="AQ14" s="2287"/>
      <c r="AR14" s="2287"/>
      <c r="AS14" s="2287"/>
      <c r="AT14" s="1214"/>
      <c r="AU14" s="1214"/>
      <c r="AV14" s="1214"/>
      <c r="AW14" s="1214"/>
      <c r="AX14" s="1214"/>
      <c r="AY14" s="1214"/>
      <c r="AZ14" s="1214"/>
      <c r="BA14" s="1214"/>
      <c r="BB14" s="1214"/>
      <c r="BC14" s="1214"/>
      <c r="BD14" s="1214"/>
      <c r="BE14" s="1215"/>
    </row>
    <row r="15" spans="1:65" thickBot="1">
      <c r="A15" s="1208"/>
      <c r="B15" s="2280" t="s">
        <v>2366</v>
      </c>
      <c r="C15" s="2281"/>
      <c r="D15" s="2281"/>
      <c r="E15" s="2281"/>
      <c r="F15" s="2281"/>
      <c r="G15" s="2281"/>
      <c r="H15" s="2281"/>
      <c r="I15" s="2281"/>
      <c r="J15" s="2281"/>
      <c r="K15" s="2281"/>
      <c r="L15" s="2281"/>
      <c r="M15" s="2281"/>
      <c r="N15" s="2281"/>
      <c r="O15" s="2281"/>
      <c r="P15" s="2281"/>
      <c r="Q15" s="2281"/>
      <c r="R15" s="2282"/>
      <c r="S15" s="2283" t="str">
        <f>IF(Application!AB215="","",Application!AB215)</f>
        <v/>
      </c>
      <c r="T15" s="2283"/>
      <c r="U15" s="2283"/>
      <c r="V15" s="2283"/>
      <c r="W15" s="2284"/>
      <c r="X15" s="1214"/>
      <c r="Y15" s="1208"/>
      <c r="Z15" s="1208"/>
      <c r="AA15" s="2285" t="s">
        <v>2365</v>
      </c>
      <c r="AB15" s="2285"/>
      <c r="AC15" s="2285"/>
      <c r="AD15" s="2285"/>
      <c r="AE15" s="2285"/>
      <c r="AF15" s="2285"/>
      <c r="AG15" s="2285"/>
      <c r="AH15" s="2285"/>
      <c r="AI15" s="2285"/>
      <c r="AJ15" s="2285"/>
      <c r="AK15" s="2285"/>
      <c r="AL15" s="2285"/>
      <c r="AM15" s="2285"/>
      <c r="AN15" s="2285"/>
      <c r="AO15" s="2286"/>
      <c r="AP15" s="2287"/>
      <c r="AQ15" s="2287"/>
      <c r="AR15" s="2287"/>
      <c r="AS15" s="2287"/>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8" t="s">
        <v>2364</v>
      </c>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10"/>
      <c r="AZ17" s="1208"/>
      <c r="BA17" s="1208"/>
      <c r="BB17" s="1208"/>
      <c r="BC17" s="1208"/>
      <c r="BD17" s="1208"/>
      <c r="BE17" s="1215"/>
      <c r="BF17" s="1206"/>
    </row>
    <row r="18" spans="1:58" ht="15.75" customHeight="1">
      <c r="A18" s="1208"/>
      <c r="B18" s="2288" t="s">
        <v>2363</v>
      </c>
      <c r="C18" s="2289"/>
      <c r="D18" s="2289"/>
      <c r="E18" s="2289"/>
      <c r="F18" s="2289"/>
      <c r="G18" s="2289"/>
      <c r="H18" s="2289"/>
      <c r="I18" s="2290"/>
      <c r="J18" s="2291" t="s">
        <v>1573</v>
      </c>
      <c r="K18" s="2292"/>
      <c r="L18" s="2292"/>
      <c r="M18" s="2292"/>
      <c r="N18" s="2292"/>
      <c r="O18" s="2293"/>
      <c r="P18" s="2291" t="s">
        <v>323</v>
      </c>
      <c r="Q18" s="2292"/>
      <c r="R18" s="2292"/>
      <c r="S18" s="2292"/>
      <c r="T18" s="2292"/>
      <c r="U18" s="2293"/>
      <c r="V18" s="2291" t="s">
        <v>324</v>
      </c>
      <c r="W18" s="2292"/>
      <c r="X18" s="2292"/>
      <c r="Y18" s="2292"/>
      <c r="Z18" s="2292"/>
      <c r="AA18" s="2293"/>
      <c r="AB18" s="2291" t="s">
        <v>163</v>
      </c>
      <c r="AC18" s="2292"/>
      <c r="AD18" s="2292"/>
      <c r="AE18" s="2292"/>
      <c r="AF18" s="2292"/>
      <c r="AG18" s="2293"/>
      <c r="AH18" s="2291" t="s">
        <v>164</v>
      </c>
      <c r="AI18" s="2292"/>
      <c r="AJ18" s="2292"/>
      <c r="AK18" s="2292"/>
      <c r="AL18" s="2292"/>
      <c r="AM18" s="2293"/>
      <c r="AN18" s="2291" t="s">
        <v>165</v>
      </c>
      <c r="AO18" s="2292"/>
      <c r="AP18" s="2292"/>
      <c r="AQ18" s="2292"/>
      <c r="AR18" s="2292"/>
      <c r="AS18" s="2293"/>
      <c r="AT18" s="2291" t="s">
        <v>2362</v>
      </c>
      <c r="AU18" s="2292"/>
      <c r="AV18" s="2292"/>
      <c r="AW18" s="2292"/>
      <c r="AX18" s="2292"/>
      <c r="AY18" s="2294"/>
      <c r="AZ18" s="1208"/>
      <c r="BA18" s="1208"/>
      <c r="BB18" s="1208"/>
      <c r="BC18" s="1208"/>
      <c r="BD18" s="1208"/>
      <c r="BE18" s="1215"/>
    </row>
    <row r="19" spans="1:58" ht="15">
      <c r="A19" s="1208"/>
      <c r="B19" s="2274">
        <v>0.3</v>
      </c>
      <c r="C19" s="2275"/>
      <c r="D19" s="2275"/>
      <c r="E19" s="2275"/>
      <c r="F19" s="2275"/>
      <c r="G19" s="2275"/>
      <c r="H19" s="2275"/>
      <c r="I19" s="2276"/>
      <c r="J19" s="2277">
        <f t="shared" ref="J19:J24" si="0">SUM(P19:AS19)</f>
        <v>24</v>
      </c>
      <c r="K19" s="2278"/>
      <c r="L19" s="2278"/>
      <c r="M19" s="2278"/>
      <c r="N19" s="2278"/>
      <c r="O19" s="2279"/>
      <c r="P19" s="2277" cm="1">
        <f t="array" ref="P19">SUMPRODUCT((Application!$B$726:$B$760 = 'CalHFA Addendum'!P$18)*(Application!$AC$726:$AC$760 = 'CalHFA Addendum'!$B19),Application!$G$726:$G$760)</f>
        <v>0</v>
      </c>
      <c r="Q19" s="2278"/>
      <c r="R19" s="2278"/>
      <c r="S19" s="2278"/>
      <c r="T19" s="2278"/>
      <c r="U19" s="2279"/>
      <c r="V19" s="2277" cm="1">
        <f t="array" ref="V19">SUMPRODUCT((Application!$B$726:$B$760 = 'CalHFA Addendum'!V$18)*(Application!$AC$726:$AC$760 = 'CalHFA Addendum'!$B19),Application!$G$726:$G$760)</f>
        <v>18</v>
      </c>
      <c r="W19" s="2278"/>
      <c r="X19" s="2278"/>
      <c r="Y19" s="2278"/>
      <c r="Z19" s="2278"/>
      <c r="AA19" s="2279"/>
      <c r="AB19" s="2277" cm="1">
        <f t="array" ref="AB19">SUMPRODUCT((Application!$B$726:$B$760 = 'CalHFA Addendum'!AB$18)*(Application!$AC$726:$AC$760 = 'CalHFA Addendum'!$B19),Application!$G$726:$G$760)</f>
        <v>2</v>
      </c>
      <c r="AC19" s="2278"/>
      <c r="AD19" s="2278"/>
      <c r="AE19" s="2278"/>
      <c r="AF19" s="2278"/>
      <c r="AG19" s="2279"/>
      <c r="AH19" s="2277" cm="1">
        <f t="array" ref="AH19">SUMPRODUCT((Application!$B$726:$B$760 = 'CalHFA Addendum'!AH$18)*(Application!$AC$726:$AC$760 = 'CalHFA Addendum'!$B19),Application!$G$726:$G$760)</f>
        <v>2</v>
      </c>
      <c r="AI19" s="2278"/>
      <c r="AJ19" s="2278"/>
      <c r="AK19" s="2278"/>
      <c r="AL19" s="2278"/>
      <c r="AM19" s="2279"/>
      <c r="AN19" s="2277" cm="1">
        <f t="array" ref="AN19">SUMPRODUCT((Application!$B$726:$B$760 = 'CalHFA Addendum'!AN$18)*(Application!$AC$726:$AC$760 = 'CalHFA Addendum'!$B19),Application!$G$726:$G$760)</f>
        <v>2</v>
      </c>
      <c r="AO19" s="2278"/>
      <c r="AP19" s="2278"/>
      <c r="AQ19" s="2278"/>
      <c r="AR19" s="2278"/>
      <c r="AS19" s="2279"/>
      <c r="AT19" s="2262">
        <f>J19/$J$29</f>
        <v>0.1</v>
      </c>
      <c r="AU19" s="2263"/>
      <c r="AV19" s="2263"/>
      <c r="AW19" s="2263"/>
      <c r="AX19" s="2263"/>
      <c r="AY19" s="2264"/>
      <c r="AZ19" s="1216"/>
      <c r="BA19" s="1208"/>
      <c r="BB19" s="1208"/>
      <c r="BC19" s="1208"/>
      <c r="BD19" s="1208"/>
      <c r="BE19" s="1215"/>
    </row>
    <row r="20" spans="1:58" ht="15" customHeight="1">
      <c r="A20" s="1208"/>
      <c r="B20" s="2274">
        <v>0.4</v>
      </c>
      <c r="C20" s="2275"/>
      <c r="D20" s="2275"/>
      <c r="E20" s="2275"/>
      <c r="F20" s="2275"/>
      <c r="G20" s="2275"/>
      <c r="H20" s="2275"/>
      <c r="I20" s="2276"/>
      <c r="J20" s="2277">
        <f t="shared" si="0"/>
        <v>0</v>
      </c>
      <c r="K20" s="2278"/>
      <c r="L20" s="2278"/>
      <c r="M20" s="2278"/>
      <c r="N20" s="2278"/>
      <c r="O20" s="2279"/>
      <c r="P20" s="2277" cm="1">
        <f t="array" ref="P20">SUMPRODUCT((Application!$B$726:$B$760 = 'CalHFA Addendum'!P$18)*(Application!$AC$726:$AC$760 = 'CalHFA Addendum'!$B20),Application!$G$726:$G$760)</f>
        <v>0</v>
      </c>
      <c r="Q20" s="2278"/>
      <c r="R20" s="2278"/>
      <c r="S20" s="2278"/>
      <c r="T20" s="2278"/>
      <c r="U20" s="2279"/>
      <c r="V20" s="2277" cm="1">
        <f t="array" ref="V20">SUMPRODUCT((Application!$B$726:$B$760 = 'CalHFA Addendum'!V$18)*(Application!$AC$726:$AC$760 = 'CalHFA Addendum'!$B20),Application!$G$726:$G$760)</f>
        <v>0</v>
      </c>
      <c r="W20" s="2278"/>
      <c r="X20" s="2278"/>
      <c r="Y20" s="2278"/>
      <c r="Z20" s="2278"/>
      <c r="AA20" s="2279"/>
      <c r="AB20" s="2277" cm="1">
        <f t="array" ref="AB20">SUMPRODUCT((Application!$B$726:$B$760 = 'CalHFA Addendum'!AB$18)*(Application!$AC$726:$AC$760 = 'CalHFA Addendum'!$B20),Application!$G$726:$G$760)</f>
        <v>0</v>
      </c>
      <c r="AC20" s="2278"/>
      <c r="AD20" s="2278"/>
      <c r="AE20" s="2278"/>
      <c r="AF20" s="2278"/>
      <c r="AG20" s="2279"/>
      <c r="AH20" s="2277" cm="1">
        <f t="array" ref="AH20">SUMPRODUCT((Application!$B$726:$B$760 = 'CalHFA Addendum'!AH$18)*(Application!$AC$726:$AC$760 = 'CalHFA Addendum'!$B20),Application!$G$726:$G$760)</f>
        <v>0</v>
      </c>
      <c r="AI20" s="2278"/>
      <c r="AJ20" s="2278"/>
      <c r="AK20" s="2278"/>
      <c r="AL20" s="2278"/>
      <c r="AM20" s="2279"/>
      <c r="AN20" s="2277" cm="1">
        <f t="array" ref="AN20">SUMPRODUCT((Application!$B$726:$B$760 = 'CalHFA Addendum'!AN$18)*(Application!$AC$726:$AC$760 = 'CalHFA Addendum'!$B20),Application!$G$726:$G$760)</f>
        <v>0</v>
      </c>
      <c r="AO20" s="2278"/>
      <c r="AP20" s="2278"/>
      <c r="AQ20" s="2278"/>
      <c r="AR20" s="2278"/>
      <c r="AS20" s="2279"/>
      <c r="AT20" s="2262">
        <f t="shared" ref="AT20:AT29" si="1">J20/$J$29</f>
        <v>0</v>
      </c>
      <c r="AU20" s="2263"/>
      <c r="AV20" s="2263"/>
      <c r="AW20" s="2263"/>
      <c r="AX20" s="2263"/>
      <c r="AY20" s="2264"/>
      <c r="AZ20" s="1208"/>
      <c r="BA20" s="1208"/>
      <c r="BB20" s="1208"/>
      <c r="BC20" s="1208"/>
      <c r="BD20" s="1208"/>
      <c r="BE20" s="1215"/>
    </row>
    <row r="21" spans="1:58" ht="15">
      <c r="A21" s="1208"/>
      <c r="B21" s="2274">
        <v>0.5</v>
      </c>
      <c r="C21" s="2275"/>
      <c r="D21" s="2275"/>
      <c r="E21" s="2275"/>
      <c r="F21" s="2275"/>
      <c r="G21" s="2275"/>
      <c r="H21" s="2275"/>
      <c r="I21" s="2276"/>
      <c r="J21" s="2277">
        <f t="shared" si="0"/>
        <v>24</v>
      </c>
      <c r="K21" s="2278"/>
      <c r="L21" s="2278"/>
      <c r="M21" s="2278"/>
      <c r="N21" s="2278"/>
      <c r="O21" s="2279"/>
      <c r="P21" s="2277" cm="1">
        <f t="array" ref="P21">SUMPRODUCT((Application!$B$726:$B$760 = 'CalHFA Addendum'!P$18)*(Application!$AC$726:$AC$760 = 'CalHFA Addendum'!$B21),Application!$G$726:$G$760)</f>
        <v>0</v>
      </c>
      <c r="Q21" s="2278"/>
      <c r="R21" s="2278"/>
      <c r="S21" s="2278"/>
      <c r="T21" s="2278"/>
      <c r="U21" s="2279"/>
      <c r="V21" s="2277" cm="1">
        <f t="array" ref="V21">SUMPRODUCT((Application!$B$726:$B$760 = 'CalHFA Addendum'!V$18)*(Application!$AC$726:$AC$760 = 'CalHFA Addendum'!$B21),Application!$G$726:$G$760)</f>
        <v>4</v>
      </c>
      <c r="W21" s="2278"/>
      <c r="X21" s="2278"/>
      <c r="Y21" s="2278"/>
      <c r="Z21" s="2278"/>
      <c r="AA21" s="2279"/>
      <c r="AB21" s="2277" cm="1">
        <f t="array" ref="AB21">SUMPRODUCT((Application!$B$726:$B$760 = 'CalHFA Addendum'!AB$18)*(Application!$AC$726:$AC$760 = 'CalHFA Addendum'!$B21),Application!$G$726:$G$760)</f>
        <v>8</v>
      </c>
      <c r="AC21" s="2278"/>
      <c r="AD21" s="2278"/>
      <c r="AE21" s="2278"/>
      <c r="AF21" s="2278"/>
      <c r="AG21" s="2279"/>
      <c r="AH21" s="2277" cm="1">
        <f t="array" ref="AH21">SUMPRODUCT((Application!$B$726:$B$760 = 'CalHFA Addendum'!AH$18)*(Application!$AC$726:$AC$760 = 'CalHFA Addendum'!$B21),Application!$G$726:$G$760)</f>
        <v>8</v>
      </c>
      <c r="AI21" s="2278"/>
      <c r="AJ21" s="2278"/>
      <c r="AK21" s="2278"/>
      <c r="AL21" s="2278"/>
      <c r="AM21" s="2279"/>
      <c r="AN21" s="2277" cm="1">
        <f t="array" ref="AN21">SUMPRODUCT((Application!$B$726:$B$760 = 'CalHFA Addendum'!AN$18)*(Application!$AC$726:$AC$760 = 'CalHFA Addendum'!$B21),Application!$G$726:$G$760)</f>
        <v>4</v>
      </c>
      <c r="AO21" s="2278"/>
      <c r="AP21" s="2278"/>
      <c r="AQ21" s="2278"/>
      <c r="AR21" s="2278"/>
      <c r="AS21" s="2279"/>
      <c r="AT21" s="2262">
        <f t="shared" si="1"/>
        <v>0.1</v>
      </c>
      <c r="AU21" s="2263"/>
      <c r="AV21" s="2263"/>
      <c r="AW21" s="2263"/>
      <c r="AX21" s="2263"/>
      <c r="AY21" s="2264"/>
      <c r="AZ21" s="1208"/>
      <c r="BA21" s="1208"/>
      <c r="BB21" s="1208"/>
      <c r="BC21" s="1208"/>
      <c r="BD21" s="1208"/>
      <c r="BE21" s="1215"/>
    </row>
    <row r="22" spans="1:58" ht="15">
      <c r="A22" s="1208"/>
      <c r="B22" s="2274">
        <v>0.6</v>
      </c>
      <c r="C22" s="2275"/>
      <c r="D22" s="2275"/>
      <c r="E22" s="2275"/>
      <c r="F22" s="2275"/>
      <c r="G22" s="2275"/>
      <c r="H22" s="2275"/>
      <c r="I22" s="2276"/>
      <c r="J22" s="2277">
        <f t="shared" si="0"/>
        <v>153</v>
      </c>
      <c r="K22" s="2278"/>
      <c r="L22" s="2278"/>
      <c r="M22" s="2278"/>
      <c r="N22" s="2278"/>
      <c r="O22" s="2279"/>
      <c r="P22" s="2277" cm="1">
        <f t="array" ref="P22">SUMPRODUCT((Application!$B$726:$B$760 = 'CalHFA Addendum'!P$18)*(Application!$AC$726:$AC$760 = 'CalHFA Addendum'!$B22),Application!$G$726:$G$760)</f>
        <v>0</v>
      </c>
      <c r="Q22" s="2278"/>
      <c r="R22" s="2278"/>
      <c r="S22" s="2278"/>
      <c r="T22" s="2278"/>
      <c r="U22" s="2279"/>
      <c r="V22" s="2277" cm="1">
        <f t="array" ref="V22">SUMPRODUCT((Application!$B$726:$B$760 = 'CalHFA Addendum'!V$18)*(Application!$AC$726:$AC$760 = 'CalHFA Addendum'!$B22),Application!$G$726:$G$760)</f>
        <v>14</v>
      </c>
      <c r="W22" s="2278"/>
      <c r="X22" s="2278"/>
      <c r="Y22" s="2278"/>
      <c r="Z22" s="2278"/>
      <c r="AA22" s="2279"/>
      <c r="AB22" s="2277" cm="1">
        <f t="array" ref="AB22">SUMPRODUCT((Application!$B$726:$B$760 = 'CalHFA Addendum'!AB$18)*(Application!$AC$726:$AC$760 = 'CalHFA Addendum'!$B22),Application!$G$726:$G$760)</f>
        <v>65</v>
      </c>
      <c r="AC22" s="2278"/>
      <c r="AD22" s="2278"/>
      <c r="AE22" s="2278"/>
      <c r="AF22" s="2278"/>
      <c r="AG22" s="2279"/>
      <c r="AH22" s="2277" cm="1">
        <f t="array" ref="AH22">SUMPRODUCT((Application!$B$726:$B$760 = 'CalHFA Addendum'!AH$18)*(Application!$AC$726:$AC$760 = 'CalHFA Addendum'!$B22),Application!$G$726:$G$760)</f>
        <v>60</v>
      </c>
      <c r="AI22" s="2278"/>
      <c r="AJ22" s="2278"/>
      <c r="AK22" s="2278"/>
      <c r="AL22" s="2278"/>
      <c r="AM22" s="2279"/>
      <c r="AN22" s="2277" cm="1">
        <f t="array" ref="AN22">SUMPRODUCT((Application!$B$726:$B$760 = 'CalHFA Addendum'!AN$18)*(Application!$AC$726:$AC$760 = 'CalHFA Addendum'!$B22),Application!$G$726:$G$760)</f>
        <v>14</v>
      </c>
      <c r="AO22" s="2278"/>
      <c r="AP22" s="2278"/>
      <c r="AQ22" s="2278"/>
      <c r="AR22" s="2278"/>
      <c r="AS22" s="2279"/>
      <c r="AT22" s="2262">
        <f t="shared" si="1"/>
        <v>0.63749999999999996</v>
      </c>
      <c r="AU22" s="2263"/>
      <c r="AV22" s="2263"/>
      <c r="AW22" s="2263"/>
      <c r="AX22" s="2263"/>
      <c r="AY22" s="2264"/>
      <c r="AZ22" s="1208"/>
      <c r="BA22" s="1208"/>
      <c r="BB22" s="1208"/>
      <c r="BC22" s="1208"/>
      <c r="BD22" s="1208"/>
      <c r="BE22" s="1215"/>
    </row>
    <row r="23" spans="1:58" ht="15">
      <c r="A23" s="1208"/>
      <c r="B23" s="2274">
        <v>0.7</v>
      </c>
      <c r="C23" s="2275"/>
      <c r="D23" s="2275"/>
      <c r="E23" s="2275"/>
      <c r="F23" s="2275"/>
      <c r="G23" s="2275"/>
      <c r="H23" s="2275"/>
      <c r="I23" s="2276"/>
      <c r="J23" s="2277">
        <f t="shared" si="0"/>
        <v>36</v>
      </c>
      <c r="K23" s="2278"/>
      <c r="L23" s="2278"/>
      <c r="M23" s="2278"/>
      <c r="N23" s="2278"/>
      <c r="O23" s="2279"/>
      <c r="P23" s="2277" cm="1">
        <f t="array" ref="P23">SUMPRODUCT((Application!$B$726:$B$760 = 'CalHFA Addendum'!P$18)*(Application!$AC$726:$AC$760 = 'CalHFA Addendum'!$B23),Application!$G$726:$G$760)</f>
        <v>0</v>
      </c>
      <c r="Q23" s="2278"/>
      <c r="R23" s="2278"/>
      <c r="S23" s="2278"/>
      <c r="T23" s="2278"/>
      <c r="U23" s="2279"/>
      <c r="V23" s="2277" cm="1">
        <f t="array" ref="V23">SUMPRODUCT((Application!$B$726:$B$760 = 'CalHFA Addendum'!V$18)*(Application!$AC$726:$AC$760 = 'CalHFA Addendum'!$B23),Application!$G$726:$G$760)</f>
        <v>0</v>
      </c>
      <c r="W23" s="2278"/>
      <c r="X23" s="2278"/>
      <c r="Y23" s="2278"/>
      <c r="Z23" s="2278"/>
      <c r="AA23" s="2279"/>
      <c r="AB23" s="2277" cm="1">
        <f t="array" ref="AB23">SUMPRODUCT((Application!$B$726:$B$760 = 'CalHFA Addendum'!AB$18)*(Application!$AC$726:$AC$760 = 'CalHFA Addendum'!$B23),Application!$G$726:$G$760)</f>
        <v>8</v>
      </c>
      <c r="AC23" s="2278"/>
      <c r="AD23" s="2278"/>
      <c r="AE23" s="2278"/>
      <c r="AF23" s="2278"/>
      <c r="AG23" s="2279"/>
      <c r="AH23" s="2277" cm="1">
        <f t="array" ref="AH23">SUMPRODUCT((Application!$B$726:$B$760 = 'CalHFA Addendum'!AH$18)*(Application!$AC$726:$AC$760 = 'CalHFA Addendum'!$B23),Application!$G$726:$G$760)</f>
        <v>12</v>
      </c>
      <c r="AI23" s="2278"/>
      <c r="AJ23" s="2278"/>
      <c r="AK23" s="2278"/>
      <c r="AL23" s="2278"/>
      <c r="AM23" s="2279"/>
      <c r="AN23" s="2277" cm="1">
        <f t="array" ref="AN23">SUMPRODUCT((Application!$B$726:$B$760 = 'CalHFA Addendum'!AN$18)*(Application!$AC$726:$AC$760 = 'CalHFA Addendum'!$B23),Application!$G$726:$G$760)</f>
        <v>16</v>
      </c>
      <c r="AO23" s="2278"/>
      <c r="AP23" s="2278"/>
      <c r="AQ23" s="2278"/>
      <c r="AR23" s="2278"/>
      <c r="AS23" s="2279"/>
      <c r="AT23" s="2262">
        <f t="shared" si="1"/>
        <v>0.15</v>
      </c>
      <c r="AU23" s="2263"/>
      <c r="AV23" s="2263"/>
      <c r="AW23" s="2263"/>
      <c r="AX23" s="2263"/>
      <c r="AY23" s="2264"/>
      <c r="AZ23" s="1208"/>
      <c r="BA23" s="1208"/>
      <c r="BB23" s="1208"/>
      <c r="BC23" s="1208"/>
      <c r="BD23" s="1208"/>
      <c r="BE23" s="1215"/>
    </row>
    <row r="24" spans="1:58" ht="15">
      <c r="A24" s="1208"/>
      <c r="B24" s="2274">
        <v>0.8</v>
      </c>
      <c r="C24" s="2275"/>
      <c r="D24" s="2275"/>
      <c r="E24" s="2275"/>
      <c r="F24" s="2275"/>
      <c r="G24" s="2275"/>
      <c r="H24" s="2275"/>
      <c r="I24" s="2276"/>
      <c r="J24" s="2277">
        <f t="shared" si="0"/>
        <v>0</v>
      </c>
      <c r="K24" s="2278"/>
      <c r="L24" s="2278"/>
      <c r="M24" s="2278"/>
      <c r="N24" s="2278"/>
      <c r="O24" s="2279"/>
      <c r="P24" s="2277" cm="1">
        <f t="array" ref="P24">SUMPRODUCT((Application!$B$726:$B$760 = 'CalHFA Addendum'!P$18)*(Application!$AC$726:$AC$760 = 'CalHFA Addendum'!$B24),Application!$G$726:$G$760)</f>
        <v>0</v>
      </c>
      <c r="Q24" s="2278"/>
      <c r="R24" s="2278"/>
      <c r="S24" s="2278"/>
      <c r="T24" s="2278"/>
      <c r="U24" s="2279"/>
      <c r="V24" s="2277" cm="1">
        <f t="array" ref="V24">SUMPRODUCT((Application!$B$726:$B$760 = 'CalHFA Addendum'!V$18)*(Application!$AC$726:$AC$760 = 'CalHFA Addendum'!$B24),Application!$G$726:$G$760)</f>
        <v>0</v>
      </c>
      <c r="W24" s="2278"/>
      <c r="X24" s="2278"/>
      <c r="Y24" s="2278"/>
      <c r="Z24" s="2278"/>
      <c r="AA24" s="2279"/>
      <c r="AB24" s="2277" cm="1">
        <f t="array" ref="AB24">SUMPRODUCT((Application!$B$726:$B$760 = 'CalHFA Addendum'!AB$18)*(Application!$AC$726:$AC$760 = 'CalHFA Addendum'!$B24),Application!$G$726:$G$760)</f>
        <v>0</v>
      </c>
      <c r="AC24" s="2278"/>
      <c r="AD24" s="2278"/>
      <c r="AE24" s="2278"/>
      <c r="AF24" s="2278"/>
      <c r="AG24" s="2279"/>
      <c r="AH24" s="2277" cm="1">
        <f t="array" ref="AH24">SUMPRODUCT((Application!$B$726:$B$760 = 'CalHFA Addendum'!AH$18)*(Application!$AC$726:$AC$760 = 'CalHFA Addendum'!$B24),Application!$G$726:$G$760)</f>
        <v>0</v>
      </c>
      <c r="AI24" s="2278"/>
      <c r="AJ24" s="2278"/>
      <c r="AK24" s="2278"/>
      <c r="AL24" s="2278"/>
      <c r="AM24" s="2279"/>
      <c r="AN24" s="2277" cm="1">
        <f t="array" ref="AN24">SUMPRODUCT((Application!$B$726:$B$760 = 'CalHFA Addendum'!AN$18)*(Application!$AC$726:$AC$760 = 'CalHFA Addendum'!$B24),Application!$G$726:$G$760)</f>
        <v>0</v>
      </c>
      <c r="AO24" s="2278"/>
      <c r="AP24" s="2278"/>
      <c r="AQ24" s="2278"/>
      <c r="AR24" s="2278"/>
      <c r="AS24" s="2279"/>
      <c r="AT24" s="2262">
        <f t="shared" si="1"/>
        <v>0</v>
      </c>
      <c r="AU24" s="2263"/>
      <c r="AV24" s="2263"/>
      <c r="AW24" s="2263"/>
      <c r="AX24" s="2263"/>
      <c r="AY24" s="2264"/>
      <c r="AZ24" s="1208"/>
      <c r="BA24" s="1208"/>
      <c r="BB24" s="1208"/>
      <c r="BC24" s="1208"/>
      <c r="BD24" s="1208"/>
      <c r="BE24" s="1215"/>
    </row>
    <row r="25" spans="1:58" ht="15">
      <c r="A25" s="1208"/>
      <c r="B25" s="2274">
        <v>0.9</v>
      </c>
      <c r="C25" s="2275"/>
      <c r="D25" s="2275"/>
      <c r="E25" s="2275"/>
      <c r="F25" s="2275"/>
      <c r="G25" s="2275"/>
      <c r="H25" s="2275"/>
      <c r="I25" s="2276"/>
      <c r="J25" s="2259"/>
      <c r="K25" s="2260"/>
      <c r="L25" s="2260"/>
      <c r="M25" s="2260"/>
      <c r="N25" s="2260"/>
      <c r="O25" s="2261"/>
      <c r="P25" s="2259"/>
      <c r="Q25" s="2260"/>
      <c r="R25" s="2260"/>
      <c r="S25" s="2260"/>
      <c r="T25" s="2260"/>
      <c r="U25" s="2261"/>
      <c r="V25" s="2259"/>
      <c r="W25" s="2260"/>
      <c r="X25" s="2260"/>
      <c r="Y25" s="2260"/>
      <c r="Z25" s="2260"/>
      <c r="AA25" s="2261"/>
      <c r="AB25" s="2259"/>
      <c r="AC25" s="2260"/>
      <c r="AD25" s="2260"/>
      <c r="AE25" s="2260"/>
      <c r="AF25" s="2260"/>
      <c r="AG25" s="2261"/>
      <c r="AH25" s="2259"/>
      <c r="AI25" s="2260"/>
      <c r="AJ25" s="2260"/>
      <c r="AK25" s="2260"/>
      <c r="AL25" s="2260"/>
      <c r="AM25" s="2261"/>
      <c r="AN25" s="2259"/>
      <c r="AO25" s="2260"/>
      <c r="AP25" s="2260"/>
      <c r="AQ25" s="2260"/>
      <c r="AR25" s="2260"/>
      <c r="AS25" s="2261"/>
      <c r="AT25" s="2262">
        <f t="shared" si="1"/>
        <v>0</v>
      </c>
      <c r="AU25" s="2263"/>
      <c r="AV25" s="2263"/>
      <c r="AW25" s="2263"/>
      <c r="AX25" s="2263"/>
      <c r="AY25" s="2264"/>
      <c r="AZ25" s="1208"/>
      <c r="BA25" s="1208"/>
      <c r="BB25" s="1208"/>
      <c r="BC25" s="1208"/>
      <c r="BD25" s="1208"/>
      <c r="BE25" s="1215"/>
    </row>
    <row r="26" spans="1:58" ht="15">
      <c r="A26" s="1208"/>
      <c r="B26" s="2274">
        <v>1</v>
      </c>
      <c r="C26" s="2275"/>
      <c r="D26" s="2275"/>
      <c r="E26" s="2275"/>
      <c r="F26" s="2275"/>
      <c r="G26" s="2275"/>
      <c r="H26" s="2275"/>
      <c r="I26" s="2276"/>
      <c r="J26" s="2259"/>
      <c r="K26" s="2260"/>
      <c r="L26" s="2260"/>
      <c r="M26" s="2260"/>
      <c r="N26" s="2260"/>
      <c r="O26" s="2261"/>
      <c r="P26" s="2259"/>
      <c r="Q26" s="2260"/>
      <c r="R26" s="2260"/>
      <c r="S26" s="2260"/>
      <c r="T26" s="2260"/>
      <c r="U26" s="2261"/>
      <c r="V26" s="2259"/>
      <c r="W26" s="2260"/>
      <c r="X26" s="2260"/>
      <c r="Y26" s="2260"/>
      <c r="Z26" s="2260"/>
      <c r="AA26" s="2261"/>
      <c r="AB26" s="2259"/>
      <c r="AC26" s="2260"/>
      <c r="AD26" s="2260"/>
      <c r="AE26" s="2260"/>
      <c r="AF26" s="2260"/>
      <c r="AG26" s="2261"/>
      <c r="AH26" s="2259"/>
      <c r="AI26" s="2260"/>
      <c r="AJ26" s="2260"/>
      <c r="AK26" s="2260"/>
      <c r="AL26" s="2260"/>
      <c r="AM26" s="2261"/>
      <c r="AN26" s="2259"/>
      <c r="AO26" s="2260"/>
      <c r="AP26" s="2260"/>
      <c r="AQ26" s="2260"/>
      <c r="AR26" s="2260"/>
      <c r="AS26" s="2261"/>
      <c r="AT26" s="2262">
        <f t="shared" si="1"/>
        <v>0</v>
      </c>
      <c r="AU26" s="2263"/>
      <c r="AV26" s="2263"/>
      <c r="AW26" s="2263"/>
      <c r="AX26" s="2263"/>
      <c r="AY26" s="2264"/>
      <c r="AZ26" s="1208"/>
      <c r="BA26" s="1208"/>
      <c r="BB26" s="1208"/>
      <c r="BC26" s="1208"/>
      <c r="BD26" s="1208"/>
      <c r="BE26" s="1215"/>
    </row>
    <row r="27" spans="1:58" ht="15">
      <c r="A27" s="1208"/>
      <c r="B27" s="2274">
        <v>1.2</v>
      </c>
      <c r="C27" s="2275"/>
      <c r="D27" s="2275"/>
      <c r="E27" s="2275"/>
      <c r="F27" s="2275"/>
      <c r="G27" s="2275"/>
      <c r="H27" s="2275"/>
      <c r="I27" s="2276"/>
      <c r="J27" s="2259"/>
      <c r="K27" s="2260"/>
      <c r="L27" s="2260"/>
      <c r="M27" s="2260"/>
      <c r="N27" s="2260"/>
      <c r="O27" s="2261"/>
      <c r="P27" s="2259"/>
      <c r="Q27" s="2260"/>
      <c r="R27" s="2260"/>
      <c r="S27" s="2260"/>
      <c r="T27" s="2260"/>
      <c r="U27" s="2261"/>
      <c r="V27" s="2259"/>
      <c r="W27" s="2260"/>
      <c r="X27" s="2260"/>
      <c r="Y27" s="2260"/>
      <c r="Z27" s="2260"/>
      <c r="AA27" s="2261"/>
      <c r="AB27" s="2259"/>
      <c r="AC27" s="2260"/>
      <c r="AD27" s="2260"/>
      <c r="AE27" s="2260"/>
      <c r="AF27" s="2260"/>
      <c r="AG27" s="2261"/>
      <c r="AH27" s="2259"/>
      <c r="AI27" s="2260"/>
      <c r="AJ27" s="2260"/>
      <c r="AK27" s="2260"/>
      <c r="AL27" s="2260"/>
      <c r="AM27" s="2261"/>
      <c r="AN27" s="2259"/>
      <c r="AO27" s="2260"/>
      <c r="AP27" s="2260"/>
      <c r="AQ27" s="2260"/>
      <c r="AR27" s="2260"/>
      <c r="AS27" s="2261"/>
      <c r="AT27" s="2262">
        <f t="shared" si="1"/>
        <v>0</v>
      </c>
      <c r="AU27" s="2263"/>
      <c r="AV27" s="2263"/>
      <c r="AW27" s="2263"/>
      <c r="AX27" s="2263"/>
      <c r="AY27" s="2264"/>
      <c r="AZ27" s="1208"/>
      <c r="BA27" s="1208"/>
      <c r="BB27" s="1208"/>
      <c r="BC27" s="1208"/>
      <c r="BD27" s="1208"/>
      <c r="BE27" s="1215"/>
    </row>
    <row r="28" spans="1:58" thickBot="1">
      <c r="A28" s="1208"/>
      <c r="B28" s="2265" t="s">
        <v>2361</v>
      </c>
      <c r="C28" s="2266"/>
      <c r="D28" s="2266"/>
      <c r="E28" s="2266"/>
      <c r="F28" s="2266"/>
      <c r="G28" s="2266"/>
      <c r="H28" s="2266"/>
      <c r="I28" s="2267"/>
      <c r="J28" s="2268">
        <f>SUM(P28:AS28)</f>
        <v>3</v>
      </c>
      <c r="K28" s="2269"/>
      <c r="L28" s="2269"/>
      <c r="M28" s="2269"/>
      <c r="N28" s="2269"/>
      <c r="O28" s="2270"/>
      <c r="P28" s="2268">
        <f>_xlfn.IFNA(VLOOKUP(P$18,Application!$J$781:$S$784,6,FALSE), 0)</f>
        <v>0</v>
      </c>
      <c r="Q28" s="2269"/>
      <c r="R28" s="2269"/>
      <c r="S28" s="2269"/>
      <c r="T28" s="2269"/>
      <c r="U28" s="2270"/>
      <c r="V28" s="2268">
        <f>_xlfn.IFNA(VLOOKUP(V$18,Application!$J$781:$S$784,6,FALSE), 0)</f>
        <v>0</v>
      </c>
      <c r="W28" s="2269"/>
      <c r="X28" s="2269"/>
      <c r="Y28" s="2269"/>
      <c r="Z28" s="2269"/>
      <c r="AA28" s="2270"/>
      <c r="AB28" s="2268">
        <f>_xlfn.IFNA(VLOOKUP(AB$18,Application!$J$781:$S$784,6,FALSE), 0)</f>
        <v>1</v>
      </c>
      <c r="AC28" s="2269"/>
      <c r="AD28" s="2269"/>
      <c r="AE28" s="2269"/>
      <c r="AF28" s="2269"/>
      <c r="AG28" s="2270"/>
      <c r="AH28" s="2268">
        <f>_xlfn.IFNA(VLOOKUP(AH$18,Application!$J$781:$S$784,6,FALSE), 0)</f>
        <v>2</v>
      </c>
      <c r="AI28" s="2269"/>
      <c r="AJ28" s="2269"/>
      <c r="AK28" s="2269"/>
      <c r="AL28" s="2269"/>
      <c r="AM28" s="2270"/>
      <c r="AN28" s="2268">
        <f>_xlfn.IFNA(VLOOKUP(AN$18,Application!$J$781:$S$784,6,FALSE), 0)</f>
        <v>0</v>
      </c>
      <c r="AO28" s="2269"/>
      <c r="AP28" s="2269"/>
      <c r="AQ28" s="2269"/>
      <c r="AR28" s="2269"/>
      <c r="AS28" s="2270"/>
      <c r="AT28" s="2271">
        <f t="shared" si="1"/>
        <v>1.2500000000000001E-2</v>
      </c>
      <c r="AU28" s="2272"/>
      <c r="AV28" s="2272"/>
      <c r="AW28" s="2272"/>
      <c r="AX28" s="2272"/>
      <c r="AY28" s="2273"/>
      <c r="AZ28" s="1208"/>
      <c r="BA28" s="1208"/>
      <c r="BB28" s="1208"/>
      <c r="BC28" s="1208"/>
      <c r="BD28" s="1208"/>
      <c r="BE28" s="1215"/>
    </row>
    <row r="29" spans="1:58" thickBot="1">
      <c r="A29" s="1208"/>
      <c r="B29" s="2248" t="s">
        <v>1573</v>
      </c>
      <c r="C29" s="2221"/>
      <c r="D29" s="2221"/>
      <c r="E29" s="2221"/>
      <c r="F29" s="2221"/>
      <c r="G29" s="2221"/>
      <c r="H29" s="2221"/>
      <c r="I29" s="2222"/>
      <c r="J29" s="2220">
        <f>SUM(J19:O28)</f>
        <v>240</v>
      </c>
      <c r="K29" s="2221"/>
      <c r="L29" s="2221"/>
      <c r="M29" s="2221"/>
      <c r="N29" s="2221"/>
      <c r="O29" s="2222"/>
      <c r="P29" s="2220">
        <f>SUM(P19:U28)</f>
        <v>0</v>
      </c>
      <c r="Q29" s="2221"/>
      <c r="R29" s="2221"/>
      <c r="S29" s="2221"/>
      <c r="T29" s="2221"/>
      <c r="U29" s="2222"/>
      <c r="V29" s="2220">
        <f>SUM(V19:AA28)</f>
        <v>36</v>
      </c>
      <c r="W29" s="2221"/>
      <c r="X29" s="2221"/>
      <c r="Y29" s="2221"/>
      <c r="Z29" s="2221"/>
      <c r="AA29" s="2222"/>
      <c r="AB29" s="2220">
        <f>SUM(AB19:AG28)</f>
        <v>84</v>
      </c>
      <c r="AC29" s="2221"/>
      <c r="AD29" s="2221"/>
      <c r="AE29" s="2221"/>
      <c r="AF29" s="2221"/>
      <c r="AG29" s="2222"/>
      <c r="AH29" s="2220">
        <f>SUM(AH19:AM28)</f>
        <v>84</v>
      </c>
      <c r="AI29" s="2221"/>
      <c r="AJ29" s="2221"/>
      <c r="AK29" s="2221"/>
      <c r="AL29" s="2221"/>
      <c r="AM29" s="2222"/>
      <c r="AN29" s="2220">
        <f>SUM(AN19:AS28)</f>
        <v>36</v>
      </c>
      <c r="AO29" s="2221"/>
      <c r="AP29" s="2221"/>
      <c r="AQ29" s="2221"/>
      <c r="AR29" s="2221"/>
      <c r="AS29" s="2222"/>
      <c r="AT29" s="2223">
        <f t="shared" si="1"/>
        <v>1</v>
      </c>
      <c r="AU29" s="2224"/>
      <c r="AV29" s="2224"/>
      <c r="AW29" s="2224"/>
      <c r="AX29" s="2224"/>
      <c r="AY29" s="2225"/>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6" t="s">
        <v>2360</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227"/>
      <c r="BB31" s="2227"/>
      <c r="BC31" s="2227"/>
      <c r="BD31" s="2228"/>
      <c r="BE31" s="1215"/>
    </row>
    <row r="32" spans="1:58" thickBot="1">
      <c r="A32" s="1208"/>
      <c r="B32" s="2229" t="s">
        <v>2359</v>
      </c>
      <c r="C32" s="2230"/>
      <c r="D32" s="2230"/>
      <c r="E32" s="2230"/>
      <c r="F32" s="2230"/>
      <c r="G32" s="2230"/>
      <c r="H32" s="2230"/>
      <c r="I32" s="2230"/>
      <c r="J32" s="2233" t="s">
        <v>2358</v>
      </c>
      <c r="K32" s="2234"/>
      <c r="L32" s="2234"/>
      <c r="M32" s="2234"/>
      <c r="N32" s="2233" t="s">
        <v>2357</v>
      </c>
      <c r="O32" s="2234"/>
      <c r="P32" s="2234"/>
      <c r="Q32" s="2236"/>
      <c r="R32" s="2238" t="s">
        <v>2356</v>
      </c>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39"/>
      <c r="AT32" s="2239"/>
      <c r="AU32" s="2239"/>
      <c r="AV32" s="2239"/>
      <c r="AW32" s="2239"/>
      <c r="AX32" s="2239"/>
      <c r="AY32" s="2239"/>
      <c r="AZ32" s="2239"/>
      <c r="BA32" s="2239"/>
      <c r="BB32" s="2239"/>
      <c r="BC32" s="2239"/>
      <c r="BD32" s="2240"/>
      <c r="BE32" s="1215"/>
    </row>
    <row r="33" spans="1:58" ht="15" customHeight="1">
      <c r="A33" s="1208"/>
      <c r="B33" s="2231"/>
      <c r="C33" s="2232"/>
      <c r="D33" s="2232"/>
      <c r="E33" s="2232"/>
      <c r="F33" s="2232"/>
      <c r="G33" s="2232"/>
      <c r="H33" s="2232"/>
      <c r="I33" s="2232"/>
      <c r="J33" s="2235"/>
      <c r="K33" s="2235"/>
      <c r="L33" s="2235"/>
      <c r="M33" s="2235"/>
      <c r="N33" s="2235"/>
      <c r="O33" s="2235"/>
      <c r="P33" s="2235"/>
      <c r="Q33" s="2237"/>
      <c r="R33" s="2241" t="s">
        <v>2355</v>
      </c>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242"/>
      <c r="BB33" s="2242"/>
      <c r="BC33" s="2242"/>
      <c r="BD33" s="2243"/>
      <c r="BE33" s="1215"/>
    </row>
    <row r="34" spans="1:58" ht="15.75" customHeight="1" thickBot="1">
      <c r="A34" s="1208"/>
      <c r="B34" s="2231"/>
      <c r="C34" s="2232"/>
      <c r="D34" s="2232"/>
      <c r="E34" s="2232"/>
      <c r="F34" s="2232"/>
      <c r="G34" s="2232"/>
      <c r="H34" s="2232"/>
      <c r="I34" s="2232"/>
      <c r="J34" s="2235"/>
      <c r="K34" s="2235"/>
      <c r="L34" s="2235"/>
      <c r="M34" s="2235"/>
      <c r="N34" s="2235"/>
      <c r="O34" s="2235"/>
      <c r="P34" s="2235"/>
      <c r="Q34" s="2237"/>
      <c r="R34" s="2244"/>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245"/>
      <c r="BB34" s="2245"/>
      <c r="BC34" s="2245"/>
      <c r="BD34" s="2246"/>
      <c r="BE34" s="1215"/>
    </row>
    <row r="35" spans="1:58" ht="15.75" customHeight="1">
      <c r="A35" s="1208"/>
      <c r="B35" s="2231"/>
      <c r="C35" s="2232"/>
      <c r="D35" s="2232"/>
      <c r="E35" s="2232"/>
      <c r="F35" s="2232"/>
      <c r="G35" s="2232"/>
      <c r="H35" s="2232"/>
      <c r="I35" s="2232"/>
      <c r="J35" s="2235"/>
      <c r="K35" s="2235"/>
      <c r="L35" s="2235"/>
      <c r="M35" s="2235"/>
      <c r="N35" s="2235"/>
      <c r="O35" s="2235"/>
      <c r="P35" s="2235"/>
      <c r="Q35" s="2235"/>
      <c r="R35" s="2247">
        <v>0.3</v>
      </c>
      <c r="S35" s="2247"/>
      <c r="T35" s="2247"/>
      <c r="U35" s="2247"/>
      <c r="V35" s="2247">
        <v>0.4</v>
      </c>
      <c r="W35" s="2247"/>
      <c r="X35" s="2247"/>
      <c r="Y35" s="2247"/>
      <c r="Z35" s="2247">
        <v>0.5</v>
      </c>
      <c r="AA35" s="2247"/>
      <c r="AB35" s="2247"/>
      <c r="AC35" s="2247"/>
      <c r="AD35" s="2247">
        <v>0.6</v>
      </c>
      <c r="AE35" s="2247"/>
      <c r="AF35" s="2247"/>
      <c r="AG35" s="2247"/>
      <c r="AH35" s="2247">
        <v>0.7</v>
      </c>
      <c r="AI35" s="2247"/>
      <c r="AJ35" s="2247"/>
      <c r="AK35" s="2247"/>
      <c r="AL35" s="2252">
        <v>0.8</v>
      </c>
      <c r="AM35" s="2253"/>
      <c r="AN35" s="2253"/>
      <c r="AO35" s="2254"/>
      <c r="AP35" s="2255">
        <v>1.2</v>
      </c>
      <c r="AQ35" s="2256"/>
      <c r="AR35" s="2257"/>
      <c r="AS35" s="2249" t="s">
        <v>2354</v>
      </c>
      <c r="AT35" s="2250"/>
      <c r="AU35" s="2250"/>
      <c r="AV35" s="2250"/>
      <c r="AW35" s="2250"/>
      <c r="AX35" s="2258"/>
      <c r="AY35" s="2249" t="s">
        <v>2353</v>
      </c>
      <c r="AZ35" s="2250"/>
      <c r="BA35" s="2250"/>
      <c r="BB35" s="2250"/>
      <c r="BC35" s="2250"/>
      <c r="BD35" s="2251"/>
      <c r="BE35" s="1215"/>
    </row>
    <row r="36" spans="1:58" ht="15.75" customHeight="1">
      <c r="A36" s="1208"/>
      <c r="B36" s="2153" t="s">
        <v>2352</v>
      </c>
      <c r="C36" s="2154"/>
      <c r="D36" s="2154"/>
      <c r="E36" s="2154"/>
      <c r="F36" s="2154"/>
      <c r="G36" s="2154"/>
      <c r="H36" s="2154"/>
      <c r="I36" s="2154"/>
      <c r="J36" s="2218" t="s">
        <v>2351</v>
      </c>
      <c r="K36" s="2218"/>
      <c r="L36" s="2218"/>
      <c r="M36" s="2218"/>
      <c r="N36" s="2218">
        <v>55</v>
      </c>
      <c r="O36" s="2218"/>
      <c r="P36" s="2218"/>
      <c r="Q36" s="2218"/>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03"/>
      <c r="AM36" s="2204"/>
      <c r="AN36" s="2204"/>
      <c r="AO36" s="2205"/>
      <c r="AP36" s="2203"/>
      <c r="AQ36" s="2204"/>
      <c r="AR36" s="2205"/>
      <c r="AS36" s="2206">
        <f t="shared" ref="AS36:AS47" si="2">SUM(R36:AR36)</f>
        <v>0</v>
      </c>
      <c r="AT36" s="2207"/>
      <c r="AU36" s="2207"/>
      <c r="AV36" s="2207"/>
      <c r="AW36" s="2207"/>
      <c r="AX36" s="2208"/>
      <c r="AY36" s="2209">
        <f t="shared" ref="AY36:AY47" si="3">AS36/$J$29</f>
        <v>0</v>
      </c>
      <c r="AZ36" s="2210"/>
      <c r="BA36" s="2210"/>
      <c r="BB36" s="2210"/>
      <c r="BC36" s="2210"/>
      <c r="BD36" s="2211"/>
      <c r="BE36" s="1215"/>
    </row>
    <row r="37" spans="1:58" ht="15.75" customHeight="1">
      <c r="A37" s="1208"/>
      <c r="B37" s="2153" t="s">
        <v>2350</v>
      </c>
      <c r="C37" s="2154"/>
      <c r="D37" s="2154"/>
      <c r="E37" s="2154"/>
      <c r="F37" s="2154"/>
      <c r="G37" s="2154"/>
      <c r="H37" s="2154"/>
      <c r="I37" s="2154"/>
      <c r="J37" s="2218" t="s">
        <v>2349</v>
      </c>
      <c r="K37" s="2218"/>
      <c r="L37" s="2218"/>
      <c r="M37" s="2218"/>
      <c r="N37" s="2218">
        <v>55</v>
      </c>
      <c r="O37" s="2218"/>
      <c r="P37" s="2218"/>
      <c r="Q37" s="2218"/>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03"/>
      <c r="AM37" s="2204"/>
      <c r="AN37" s="2204"/>
      <c r="AO37" s="2205"/>
      <c r="AP37" s="2203"/>
      <c r="AQ37" s="2204"/>
      <c r="AR37" s="2205"/>
      <c r="AS37" s="2206">
        <f t="shared" si="2"/>
        <v>0</v>
      </c>
      <c r="AT37" s="2207"/>
      <c r="AU37" s="2207"/>
      <c r="AV37" s="2207"/>
      <c r="AW37" s="2207"/>
      <c r="AX37" s="2208"/>
      <c r="AY37" s="2209">
        <f t="shared" si="3"/>
        <v>0</v>
      </c>
      <c r="AZ37" s="2210"/>
      <c r="BA37" s="2210"/>
      <c r="BB37" s="2210"/>
      <c r="BC37" s="2210"/>
      <c r="BD37" s="2211"/>
      <c r="BE37" s="1215"/>
    </row>
    <row r="38" spans="1:58" ht="15.75" customHeight="1">
      <c r="A38" s="1208"/>
      <c r="B38" s="2153" t="s">
        <v>2348</v>
      </c>
      <c r="C38" s="2154"/>
      <c r="D38" s="2154"/>
      <c r="E38" s="2154"/>
      <c r="F38" s="2154"/>
      <c r="G38" s="2154"/>
      <c r="H38" s="2154"/>
      <c r="I38" s="2154"/>
      <c r="J38" s="2218" t="s">
        <v>2347</v>
      </c>
      <c r="K38" s="2218"/>
      <c r="L38" s="2218"/>
      <c r="M38" s="2218"/>
      <c r="N38" s="2218">
        <v>55</v>
      </c>
      <c r="O38" s="2218"/>
      <c r="P38" s="2218"/>
      <c r="Q38" s="2218"/>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03"/>
      <c r="AM38" s="2204"/>
      <c r="AN38" s="2204"/>
      <c r="AO38" s="2205"/>
      <c r="AP38" s="2203"/>
      <c r="AQ38" s="2204"/>
      <c r="AR38" s="2205"/>
      <c r="AS38" s="2206">
        <f t="shared" si="2"/>
        <v>0</v>
      </c>
      <c r="AT38" s="2207"/>
      <c r="AU38" s="2207"/>
      <c r="AV38" s="2207"/>
      <c r="AW38" s="2207"/>
      <c r="AX38" s="2208"/>
      <c r="AY38" s="2209">
        <f t="shared" si="3"/>
        <v>0</v>
      </c>
      <c r="AZ38" s="2210"/>
      <c r="BA38" s="2210"/>
      <c r="BB38" s="2210"/>
      <c r="BC38" s="2210"/>
      <c r="BD38" s="2211"/>
      <c r="BE38" s="1215"/>
    </row>
    <row r="39" spans="1:58" ht="15.75" customHeight="1">
      <c r="A39" s="1208"/>
      <c r="B39" s="2153" t="s">
        <v>2346</v>
      </c>
      <c r="C39" s="2154"/>
      <c r="D39" s="2154"/>
      <c r="E39" s="2154"/>
      <c r="F39" s="2154"/>
      <c r="G39" s="2154"/>
      <c r="H39" s="2154"/>
      <c r="I39" s="2154"/>
      <c r="J39" s="2218"/>
      <c r="K39" s="2218"/>
      <c r="L39" s="2218"/>
      <c r="M39" s="2218"/>
      <c r="N39" s="2218"/>
      <c r="O39" s="2218"/>
      <c r="P39" s="2218"/>
      <c r="Q39" s="2218"/>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03"/>
      <c r="AM39" s="2204"/>
      <c r="AN39" s="2204"/>
      <c r="AO39" s="2205"/>
      <c r="AP39" s="2203"/>
      <c r="AQ39" s="2204"/>
      <c r="AR39" s="2205"/>
      <c r="AS39" s="2206">
        <f t="shared" si="2"/>
        <v>0</v>
      </c>
      <c r="AT39" s="2207"/>
      <c r="AU39" s="2207"/>
      <c r="AV39" s="2207"/>
      <c r="AW39" s="2207"/>
      <c r="AX39" s="2208"/>
      <c r="AY39" s="2209">
        <f t="shared" si="3"/>
        <v>0</v>
      </c>
      <c r="AZ39" s="2210"/>
      <c r="BA39" s="2210"/>
      <c r="BB39" s="2210"/>
      <c r="BC39" s="2210"/>
      <c r="BD39" s="2211"/>
      <c r="BE39" s="1215"/>
    </row>
    <row r="40" spans="1:58" ht="15.75" customHeight="1">
      <c r="A40" s="1208"/>
      <c r="B40" s="2153" t="s">
        <v>2346</v>
      </c>
      <c r="C40" s="2154"/>
      <c r="D40" s="2154"/>
      <c r="E40" s="2154"/>
      <c r="F40" s="2154"/>
      <c r="G40" s="2154"/>
      <c r="H40" s="2154"/>
      <c r="I40" s="2154"/>
      <c r="J40" s="2218"/>
      <c r="K40" s="2218"/>
      <c r="L40" s="2218"/>
      <c r="M40" s="2218"/>
      <c r="N40" s="2218"/>
      <c r="O40" s="2218"/>
      <c r="P40" s="2218"/>
      <c r="Q40" s="2218"/>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03"/>
      <c r="AM40" s="2204"/>
      <c r="AN40" s="2204"/>
      <c r="AO40" s="2205"/>
      <c r="AP40" s="2203"/>
      <c r="AQ40" s="2204"/>
      <c r="AR40" s="2205"/>
      <c r="AS40" s="2206">
        <f t="shared" si="2"/>
        <v>0</v>
      </c>
      <c r="AT40" s="2207"/>
      <c r="AU40" s="2207"/>
      <c r="AV40" s="2207"/>
      <c r="AW40" s="2207"/>
      <c r="AX40" s="2208"/>
      <c r="AY40" s="2209">
        <f t="shared" si="3"/>
        <v>0</v>
      </c>
      <c r="AZ40" s="2210"/>
      <c r="BA40" s="2210"/>
      <c r="BB40" s="2210"/>
      <c r="BC40" s="2210"/>
      <c r="BD40" s="2211"/>
      <c r="BE40" s="1215"/>
    </row>
    <row r="41" spans="1:58" ht="15.75" customHeight="1">
      <c r="A41" s="1208"/>
      <c r="B41" s="2153" t="s">
        <v>2345</v>
      </c>
      <c r="C41" s="2154"/>
      <c r="D41" s="2154"/>
      <c r="E41" s="2154"/>
      <c r="F41" s="2154"/>
      <c r="G41" s="2154"/>
      <c r="H41" s="2154"/>
      <c r="I41" s="2154"/>
      <c r="J41" s="2218"/>
      <c r="K41" s="2218"/>
      <c r="L41" s="2218"/>
      <c r="M41" s="2218"/>
      <c r="N41" s="2218"/>
      <c r="O41" s="2218"/>
      <c r="P41" s="2218"/>
      <c r="Q41" s="2218"/>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03"/>
      <c r="AM41" s="2204"/>
      <c r="AN41" s="2204"/>
      <c r="AO41" s="2205"/>
      <c r="AP41" s="2203"/>
      <c r="AQ41" s="2204"/>
      <c r="AR41" s="2205"/>
      <c r="AS41" s="2206">
        <f t="shared" si="2"/>
        <v>0</v>
      </c>
      <c r="AT41" s="2207"/>
      <c r="AU41" s="2207"/>
      <c r="AV41" s="2207"/>
      <c r="AW41" s="2207"/>
      <c r="AX41" s="2208"/>
      <c r="AY41" s="2209">
        <f t="shared" si="3"/>
        <v>0</v>
      </c>
      <c r="AZ41" s="2210"/>
      <c r="BA41" s="2210"/>
      <c r="BB41" s="2210"/>
      <c r="BC41" s="2210"/>
      <c r="BD41" s="2211"/>
      <c r="BE41" s="1215"/>
    </row>
    <row r="42" spans="1:58" ht="15.75" customHeight="1">
      <c r="A42" s="1208"/>
      <c r="B42" s="2153" t="s">
        <v>2345</v>
      </c>
      <c r="C42" s="2154"/>
      <c r="D42" s="2154"/>
      <c r="E42" s="2154"/>
      <c r="F42" s="2154"/>
      <c r="G42" s="2154"/>
      <c r="H42" s="2154"/>
      <c r="I42" s="2154"/>
      <c r="J42" s="2218"/>
      <c r="K42" s="2218"/>
      <c r="L42" s="2218"/>
      <c r="M42" s="2218"/>
      <c r="N42" s="2218"/>
      <c r="O42" s="2218"/>
      <c r="P42" s="2218"/>
      <c r="Q42" s="2218"/>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03"/>
      <c r="AM42" s="2204"/>
      <c r="AN42" s="2204"/>
      <c r="AO42" s="2205"/>
      <c r="AP42" s="2203"/>
      <c r="AQ42" s="2204"/>
      <c r="AR42" s="2205"/>
      <c r="AS42" s="2206">
        <f t="shared" si="2"/>
        <v>0</v>
      </c>
      <c r="AT42" s="2207"/>
      <c r="AU42" s="2207"/>
      <c r="AV42" s="2207"/>
      <c r="AW42" s="2207"/>
      <c r="AX42" s="2208"/>
      <c r="AY42" s="2209">
        <f t="shared" si="3"/>
        <v>0</v>
      </c>
      <c r="AZ42" s="2210"/>
      <c r="BA42" s="2210"/>
      <c r="BB42" s="2210"/>
      <c r="BC42" s="2210"/>
      <c r="BD42" s="2211"/>
      <c r="BE42" s="1215"/>
    </row>
    <row r="43" spans="1:58" ht="15.75" customHeight="1">
      <c r="A43" s="1208"/>
      <c r="B43" s="2158" t="s">
        <v>2344</v>
      </c>
      <c r="C43" s="2159"/>
      <c r="D43" s="2159"/>
      <c r="E43" s="2159"/>
      <c r="F43" s="2159"/>
      <c r="G43" s="2159"/>
      <c r="H43" s="2159"/>
      <c r="I43" s="2159"/>
      <c r="J43" s="2218"/>
      <c r="K43" s="2218"/>
      <c r="L43" s="2218"/>
      <c r="M43" s="2218"/>
      <c r="N43" s="2218"/>
      <c r="O43" s="2218"/>
      <c r="P43" s="2218"/>
      <c r="Q43" s="2218"/>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03"/>
      <c r="AM43" s="2204"/>
      <c r="AN43" s="2204"/>
      <c r="AO43" s="2205"/>
      <c r="AP43" s="2203"/>
      <c r="AQ43" s="2204"/>
      <c r="AR43" s="2205"/>
      <c r="AS43" s="2206">
        <f t="shared" si="2"/>
        <v>0</v>
      </c>
      <c r="AT43" s="2207"/>
      <c r="AU43" s="2207"/>
      <c r="AV43" s="2207"/>
      <c r="AW43" s="2207"/>
      <c r="AX43" s="2208"/>
      <c r="AY43" s="2209">
        <f t="shared" si="3"/>
        <v>0</v>
      </c>
      <c r="AZ43" s="2210"/>
      <c r="BA43" s="2210"/>
      <c r="BB43" s="2210"/>
      <c r="BC43" s="2210"/>
      <c r="BD43" s="2211"/>
      <c r="BE43" s="1215"/>
    </row>
    <row r="44" spans="1:58" ht="15.75" customHeight="1">
      <c r="A44" s="1208"/>
      <c r="B44" s="2158" t="s">
        <v>2343</v>
      </c>
      <c r="C44" s="2159"/>
      <c r="D44" s="2159"/>
      <c r="E44" s="2159"/>
      <c r="F44" s="2159"/>
      <c r="G44" s="2159"/>
      <c r="H44" s="2159"/>
      <c r="I44" s="2159"/>
      <c r="J44" s="2218"/>
      <c r="K44" s="2218"/>
      <c r="L44" s="2218"/>
      <c r="M44" s="2218"/>
      <c r="N44" s="2218"/>
      <c r="O44" s="2218"/>
      <c r="P44" s="2218"/>
      <c r="Q44" s="2218"/>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03"/>
      <c r="AM44" s="2204"/>
      <c r="AN44" s="2204"/>
      <c r="AO44" s="2205"/>
      <c r="AP44" s="2203"/>
      <c r="AQ44" s="2204"/>
      <c r="AR44" s="2205"/>
      <c r="AS44" s="2206">
        <f t="shared" si="2"/>
        <v>0</v>
      </c>
      <c r="AT44" s="2207"/>
      <c r="AU44" s="2207"/>
      <c r="AV44" s="2207"/>
      <c r="AW44" s="2207"/>
      <c r="AX44" s="2208"/>
      <c r="AY44" s="2209">
        <f t="shared" si="3"/>
        <v>0</v>
      </c>
      <c r="AZ44" s="2210"/>
      <c r="BA44" s="2210"/>
      <c r="BB44" s="2210"/>
      <c r="BC44" s="2210"/>
      <c r="BD44" s="2211"/>
      <c r="BE44" s="1215"/>
    </row>
    <row r="45" spans="1:58" ht="15.75" customHeight="1">
      <c r="A45" s="1208"/>
      <c r="B45" s="2158" t="s">
        <v>2342</v>
      </c>
      <c r="C45" s="2159"/>
      <c r="D45" s="2159"/>
      <c r="E45" s="2159"/>
      <c r="F45" s="2159"/>
      <c r="G45" s="2159"/>
      <c r="H45" s="2159"/>
      <c r="I45" s="2159"/>
      <c r="J45" s="2218"/>
      <c r="K45" s="2218"/>
      <c r="L45" s="2218"/>
      <c r="M45" s="2218"/>
      <c r="N45" s="2218"/>
      <c r="O45" s="2218"/>
      <c r="P45" s="2218"/>
      <c r="Q45" s="2218"/>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03"/>
      <c r="AM45" s="2204"/>
      <c r="AN45" s="2204"/>
      <c r="AO45" s="2205"/>
      <c r="AP45" s="2203"/>
      <c r="AQ45" s="2204"/>
      <c r="AR45" s="2205"/>
      <c r="AS45" s="2206">
        <f t="shared" si="2"/>
        <v>0</v>
      </c>
      <c r="AT45" s="2207"/>
      <c r="AU45" s="2207"/>
      <c r="AV45" s="2207"/>
      <c r="AW45" s="2207"/>
      <c r="AX45" s="2208"/>
      <c r="AY45" s="2209">
        <f t="shared" si="3"/>
        <v>0</v>
      </c>
      <c r="AZ45" s="2210"/>
      <c r="BA45" s="2210"/>
      <c r="BB45" s="2210"/>
      <c r="BC45" s="2210"/>
      <c r="BD45" s="2211"/>
      <c r="BE45" s="1215"/>
    </row>
    <row r="46" spans="1:58" ht="15.75" customHeight="1">
      <c r="A46" s="1208"/>
      <c r="B46" s="2158" t="s">
        <v>2274</v>
      </c>
      <c r="C46" s="2159"/>
      <c r="D46" s="2159"/>
      <c r="E46" s="2159"/>
      <c r="F46" s="2159"/>
      <c r="G46" s="2159"/>
      <c r="H46" s="2159"/>
      <c r="I46" s="2159"/>
      <c r="J46" s="2218"/>
      <c r="K46" s="2218"/>
      <c r="L46" s="2218"/>
      <c r="M46" s="2218"/>
      <c r="N46" s="2218">
        <v>99</v>
      </c>
      <c r="O46" s="2218"/>
      <c r="P46" s="2218"/>
      <c r="Q46" s="2218"/>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03"/>
      <c r="AM46" s="2204"/>
      <c r="AN46" s="2204"/>
      <c r="AO46" s="2205"/>
      <c r="AP46" s="2203"/>
      <c r="AQ46" s="2204"/>
      <c r="AR46" s="2205"/>
      <c r="AS46" s="2206">
        <f t="shared" si="2"/>
        <v>0</v>
      </c>
      <c r="AT46" s="2207"/>
      <c r="AU46" s="2207"/>
      <c r="AV46" s="2207"/>
      <c r="AW46" s="2207"/>
      <c r="AX46" s="2208"/>
      <c r="AY46" s="2209">
        <f t="shared" si="3"/>
        <v>0</v>
      </c>
      <c r="AZ46" s="2210"/>
      <c r="BA46" s="2210"/>
      <c r="BB46" s="2210"/>
      <c r="BC46" s="2210"/>
      <c r="BD46" s="2211"/>
      <c r="BE46" s="1215"/>
    </row>
    <row r="47" spans="1:58" ht="15.75" customHeight="1" thickBot="1">
      <c r="A47" s="1208"/>
      <c r="B47" s="2212" t="s">
        <v>299</v>
      </c>
      <c r="C47" s="2213"/>
      <c r="D47" s="2213"/>
      <c r="E47" s="2213"/>
      <c r="F47" s="2213"/>
      <c r="G47" s="2213"/>
      <c r="H47" s="2213"/>
      <c r="I47" s="2213"/>
      <c r="J47" s="2214"/>
      <c r="K47" s="2214"/>
      <c r="L47" s="2214"/>
      <c r="M47" s="2214"/>
      <c r="N47" s="2214"/>
      <c r="O47" s="2214"/>
      <c r="P47" s="2214"/>
      <c r="Q47" s="2214"/>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200"/>
      <c r="AM47" s="2201"/>
      <c r="AN47" s="2201"/>
      <c r="AO47" s="2202"/>
      <c r="AP47" s="2200"/>
      <c r="AQ47" s="2201"/>
      <c r="AR47" s="2202"/>
      <c r="AS47" s="2206">
        <f t="shared" si="2"/>
        <v>0</v>
      </c>
      <c r="AT47" s="2207"/>
      <c r="AU47" s="2207"/>
      <c r="AV47" s="2207"/>
      <c r="AW47" s="2207"/>
      <c r="AX47" s="2208"/>
      <c r="AY47" s="2215">
        <f t="shared" si="3"/>
        <v>0</v>
      </c>
      <c r="AZ47" s="2216"/>
      <c r="BA47" s="2216"/>
      <c r="BB47" s="2216"/>
      <c r="BC47" s="2216"/>
      <c r="BD47" s="2217"/>
      <c r="BE47" s="1215"/>
    </row>
    <row r="48" spans="1:58" ht="15.75" customHeight="1">
      <c r="A48" s="1208"/>
      <c r="B48" s="1217" t="s">
        <v>2341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7" t="s">
        <v>2339</v>
      </c>
      <c r="C50" s="2033"/>
      <c r="D50" s="2033"/>
      <c r="E50" s="2033"/>
      <c r="F50" s="2033"/>
      <c r="G50" s="2033"/>
      <c r="H50" s="2033"/>
      <c r="I50" s="2033"/>
      <c r="J50" s="2033"/>
      <c r="K50" s="2033"/>
      <c r="L50" s="2033"/>
      <c r="M50" s="2033"/>
      <c r="N50" s="2033"/>
      <c r="O50" s="2033"/>
      <c r="P50" s="2033"/>
      <c r="Q50" s="2033"/>
      <c r="R50" s="2033"/>
      <c r="S50" s="2033"/>
      <c r="T50" s="2033"/>
      <c r="U50" s="2033"/>
      <c r="V50" s="2033"/>
      <c r="W50" s="2033"/>
      <c r="X50" s="2033"/>
      <c r="Y50" s="2033"/>
      <c r="Z50" s="2033"/>
      <c r="AA50" s="2033"/>
      <c r="AB50" s="2033"/>
      <c r="AC50" s="2033"/>
      <c r="AD50" s="2033"/>
      <c r="AE50" s="2033"/>
      <c r="AF50" s="2033"/>
      <c r="AG50" s="2033"/>
      <c r="AH50" s="2033"/>
      <c r="AI50" s="2033"/>
      <c r="AJ50" s="2033"/>
      <c r="AK50" s="2033"/>
      <c r="AL50" s="2033"/>
      <c r="AM50" s="2033"/>
      <c r="AN50" s="2033"/>
      <c r="AO50" s="2034"/>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1" t="s">
        <v>2332</v>
      </c>
      <c r="C51" s="2105"/>
      <c r="D51" s="2105"/>
      <c r="E51" s="2105"/>
      <c r="F51" s="2105"/>
      <c r="G51" s="2105"/>
      <c r="H51" s="2105"/>
      <c r="I51" s="2105"/>
      <c r="J51" s="2105" t="s">
        <v>2338</v>
      </c>
      <c r="K51" s="2105"/>
      <c r="L51" s="2105"/>
      <c r="M51" s="2105"/>
      <c r="N51" s="2105"/>
      <c r="O51" s="2105"/>
      <c r="P51" s="2105"/>
      <c r="Q51" s="2105"/>
      <c r="R51" s="2197" t="s">
        <v>2337</v>
      </c>
      <c r="S51" s="2197"/>
      <c r="T51" s="2197"/>
      <c r="U51" s="2197"/>
      <c r="V51" s="2197"/>
      <c r="W51" s="2197"/>
      <c r="X51" s="2197"/>
      <c r="Y51" s="2197"/>
      <c r="Z51" s="2197" t="s">
        <v>2336</v>
      </c>
      <c r="AA51" s="2197"/>
      <c r="AB51" s="2197"/>
      <c r="AC51" s="2197"/>
      <c r="AD51" s="2197"/>
      <c r="AE51" s="2197"/>
      <c r="AF51" s="2197"/>
      <c r="AG51" s="2197"/>
      <c r="AH51" s="2197" t="s">
        <v>2335</v>
      </c>
      <c r="AI51" s="2197"/>
      <c r="AJ51" s="2197"/>
      <c r="AK51" s="2197"/>
      <c r="AL51" s="2197"/>
      <c r="AM51" s="2197"/>
      <c r="AN51" s="2197"/>
      <c r="AO51" s="2198"/>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8" t="s">
        <v>2334</v>
      </c>
      <c r="C52" s="2159"/>
      <c r="D52" s="2159"/>
      <c r="E52" s="2159"/>
      <c r="F52" s="2159"/>
      <c r="G52" s="2159"/>
      <c r="H52" s="2159"/>
      <c r="I52" s="2159"/>
      <c r="J52" s="1994">
        <v>0</v>
      </c>
      <c r="K52" s="1994"/>
      <c r="L52" s="1994"/>
      <c r="M52" s="1994"/>
      <c r="N52" s="1994"/>
      <c r="O52" s="1994"/>
      <c r="P52" s="1994"/>
      <c r="Q52" s="1994"/>
      <c r="R52" s="2189">
        <v>0</v>
      </c>
      <c r="S52" s="2189"/>
      <c r="T52" s="2189"/>
      <c r="U52" s="2189"/>
      <c r="V52" s="2189"/>
      <c r="W52" s="2189"/>
      <c r="X52" s="2189"/>
      <c r="Y52" s="2189"/>
      <c r="Z52" s="2190">
        <v>0</v>
      </c>
      <c r="AA52" s="2190"/>
      <c r="AB52" s="2190"/>
      <c r="AC52" s="2190"/>
      <c r="AD52" s="2190"/>
      <c r="AE52" s="2190"/>
      <c r="AF52" s="2190"/>
      <c r="AG52" s="2190"/>
      <c r="AH52" s="2191"/>
      <c r="AI52" s="2191"/>
      <c r="AJ52" s="2191"/>
      <c r="AK52" s="2191"/>
      <c r="AL52" s="2191"/>
      <c r="AM52" s="2191"/>
      <c r="AN52" s="2191"/>
      <c r="AO52" s="219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8" t="s">
        <v>2333</v>
      </c>
      <c r="C53" s="2159"/>
      <c r="D53" s="2159"/>
      <c r="E53" s="2159"/>
      <c r="F53" s="2159"/>
      <c r="G53" s="2159"/>
      <c r="H53" s="2159"/>
      <c r="I53" s="2159"/>
      <c r="J53" s="1994">
        <v>0</v>
      </c>
      <c r="K53" s="1994"/>
      <c r="L53" s="1994"/>
      <c r="M53" s="1994"/>
      <c r="N53" s="1994"/>
      <c r="O53" s="1994"/>
      <c r="P53" s="1994"/>
      <c r="Q53" s="1994"/>
      <c r="R53" s="2189">
        <v>0</v>
      </c>
      <c r="S53" s="2189"/>
      <c r="T53" s="2189"/>
      <c r="U53" s="2189"/>
      <c r="V53" s="2189"/>
      <c r="W53" s="2189"/>
      <c r="X53" s="2189"/>
      <c r="Y53" s="2189"/>
      <c r="Z53" s="2190">
        <v>0</v>
      </c>
      <c r="AA53" s="2190"/>
      <c r="AB53" s="2190"/>
      <c r="AC53" s="2190"/>
      <c r="AD53" s="2190"/>
      <c r="AE53" s="2190"/>
      <c r="AF53" s="2190"/>
      <c r="AG53" s="2190"/>
      <c r="AH53" s="2191"/>
      <c r="AI53" s="2191"/>
      <c r="AJ53" s="2191"/>
      <c r="AK53" s="2191"/>
      <c r="AL53" s="2191"/>
      <c r="AM53" s="2191"/>
      <c r="AN53" s="2191"/>
      <c r="AO53" s="219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8"/>
      <c r="C54" s="2159"/>
      <c r="D54" s="2159"/>
      <c r="E54" s="2159"/>
      <c r="F54" s="2159"/>
      <c r="G54" s="2159"/>
      <c r="H54" s="2159"/>
      <c r="I54" s="2159"/>
      <c r="J54" s="1994"/>
      <c r="K54" s="1994"/>
      <c r="L54" s="1994"/>
      <c r="M54" s="1994"/>
      <c r="N54" s="1994"/>
      <c r="O54" s="1994"/>
      <c r="P54" s="1994"/>
      <c r="Q54" s="1994"/>
      <c r="R54" s="2189"/>
      <c r="S54" s="2189"/>
      <c r="T54" s="2189"/>
      <c r="U54" s="2189"/>
      <c r="V54" s="2189"/>
      <c r="W54" s="2189"/>
      <c r="X54" s="2189"/>
      <c r="Y54" s="2189"/>
      <c r="Z54" s="2190"/>
      <c r="AA54" s="2190"/>
      <c r="AB54" s="2190"/>
      <c r="AC54" s="2190"/>
      <c r="AD54" s="2190"/>
      <c r="AE54" s="2190"/>
      <c r="AF54" s="2190"/>
      <c r="AG54" s="2190"/>
      <c r="AH54" s="2191"/>
      <c r="AI54" s="2191"/>
      <c r="AJ54" s="2191"/>
      <c r="AK54" s="2191"/>
      <c r="AL54" s="2191"/>
      <c r="AM54" s="2191"/>
      <c r="AN54" s="2191"/>
      <c r="AO54" s="219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8"/>
      <c r="C55" s="2159"/>
      <c r="D55" s="2159"/>
      <c r="E55" s="2159"/>
      <c r="F55" s="2159"/>
      <c r="G55" s="2159"/>
      <c r="H55" s="2159"/>
      <c r="I55" s="2159"/>
      <c r="J55" s="1994"/>
      <c r="K55" s="1994"/>
      <c r="L55" s="1994"/>
      <c r="M55" s="1994"/>
      <c r="N55" s="1994"/>
      <c r="O55" s="1994"/>
      <c r="P55" s="1994"/>
      <c r="Q55" s="1994"/>
      <c r="R55" s="2189"/>
      <c r="S55" s="2189"/>
      <c r="T55" s="2189"/>
      <c r="U55" s="2189"/>
      <c r="V55" s="2189"/>
      <c r="W55" s="2189"/>
      <c r="X55" s="2189"/>
      <c r="Y55" s="2189"/>
      <c r="Z55" s="2190"/>
      <c r="AA55" s="2190"/>
      <c r="AB55" s="2190"/>
      <c r="AC55" s="2190"/>
      <c r="AD55" s="2190"/>
      <c r="AE55" s="2190"/>
      <c r="AF55" s="2190"/>
      <c r="AG55" s="2190"/>
      <c r="AH55" s="2191"/>
      <c r="AI55" s="2191"/>
      <c r="AJ55" s="2191"/>
      <c r="AK55" s="2191"/>
      <c r="AL55" s="2191"/>
      <c r="AM55" s="2191"/>
      <c r="AN55" s="2191"/>
      <c r="AO55" s="2192"/>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8"/>
      <c r="C56" s="2159"/>
      <c r="D56" s="2159"/>
      <c r="E56" s="2159"/>
      <c r="F56" s="2159"/>
      <c r="G56" s="2159"/>
      <c r="H56" s="2159"/>
      <c r="I56" s="2159"/>
      <c r="J56" s="1994"/>
      <c r="K56" s="1994"/>
      <c r="L56" s="1994"/>
      <c r="M56" s="1994"/>
      <c r="N56" s="1994"/>
      <c r="O56" s="1994"/>
      <c r="P56" s="1994"/>
      <c r="Q56" s="1994"/>
      <c r="R56" s="2189"/>
      <c r="S56" s="2189"/>
      <c r="T56" s="2189"/>
      <c r="U56" s="2189"/>
      <c r="V56" s="2189"/>
      <c r="W56" s="2189"/>
      <c r="X56" s="2189"/>
      <c r="Y56" s="2189"/>
      <c r="Z56" s="2190"/>
      <c r="AA56" s="2190"/>
      <c r="AB56" s="2190"/>
      <c r="AC56" s="2190"/>
      <c r="AD56" s="2190"/>
      <c r="AE56" s="2190"/>
      <c r="AF56" s="2190"/>
      <c r="AG56" s="2190"/>
      <c r="AH56" s="2191"/>
      <c r="AI56" s="2191"/>
      <c r="AJ56" s="2191"/>
      <c r="AK56" s="2191"/>
      <c r="AL56" s="2191"/>
      <c r="AM56" s="2191"/>
      <c r="AN56" s="2191"/>
      <c r="AO56" s="219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9" t="s">
        <v>1573</v>
      </c>
      <c r="C57" s="2140"/>
      <c r="D57" s="2140"/>
      <c r="E57" s="2140"/>
      <c r="F57" s="2140"/>
      <c r="G57" s="2140"/>
      <c r="H57" s="2140"/>
      <c r="I57" s="2140"/>
      <c r="J57" s="2140"/>
      <c r="K57" s="2140"/>
      <c r="L57" s="2140"/>
      <c r="M57" s="2140"/>
      <c r="N57" s="2140"/>
      <c r="O57" s="2140"/>
      <c r="P57" s="2140"/>
      <c r="Q57" s="2140"/>
      <c r="R57" s="2193">
        <f>SUM(R52:Y56)</f>
        <v>0</v>
      </c>
      <c r="S57" s="2193"/>
      <c r="T57" s="2193"/>
      <c r="U57" s="2193"/>
      <c r="V57" s="2193"/>
      <c r="W57" s="2193"/>
      <c r="X57" s="2193"/>
      <c r="Y57" s="2193"/>
      <c r="Z57" s="2194">
        <f>SUM(Z52:AG56)</f>
        <v>0</v>
      </c>
      <c r="AA57" s="2194"/>
      <c r="AB57" s="2194"/>
      <c r="AC57" s="2194"/>
      <c r="AD57" s="2194"/>
      <c r="AE57" s="2194"/>
      <c r="AF57" s="2194"/>
      <c r="AG57" s="2194"/>
      <c r="AH57" s="2195"/>
      <c r="AI57" s="2195"/>
      <c r="AJ57" s="2195"/>
      <c r="AK57" s="2195"/>
      <c r="AL57" s="2195"/>
      <c r="AM57" s="2195"/>
      <c r="AN57" s="2195"/>
      <c r="AO57" s="219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6" t="s">
        <v>2332</v>
      </c>
      <c r="C59" s="2187"/>
      <c r="D59" s="2187"/>
      <c r="E59" s="2187"/>
      <c r="F59" s="2187"/>
      <c r="G59" s="2187"/>
      <c r="H59" s="2187"/>
      <c r="I59" s="2188"/>
      <c r="J59" s="2109" t="s">
        <v>2331</v>
      </c>
      <c r="K59" s="2109"/>
      <c r="L59" s="210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c r="AS59" s="2109"/>
      <c r="AT59" s="2109"/>
      <c r="AU59" s="2109"/>
      <c r="AV59" s="2109"/>
      <c r="AW59" s="2110"/>
      <c r="AX59" s="1208"/>
      <c r="AY59" s="1208"/>
      <c r="AZ59" s="1208"/>
      <c r="BA59" s="1208"/>
      <c r="BB59" s="1208"/>
      <c r="BC59" s="1208"/>
      <c r="BD59" s="1208"/>
      <c r="BE59" s="1215"/>
    </row>
    <row r="60" spans="1:77" ht="15.75" customHeight="1">
      <c r="A60" s="1208"/>
      <c r="B60" s="2178" t="str">
        <f>IF(B52="", "", B52)</f>
        <v>Services Company 1</v>
      </c>
      <c r="C60" s="2179"/>
      <c r="D60" s="2179"/>
      <c r="E60" s="2179"/>
      <c r="F60" s="2179"/>
      <c r="G60" s="2179"/>
      <c r="H60" s="2179"/>
      <c r="I60" s="2180"/>
      <c r="J60" s="2181"/>
      <c r="K60" s="1997"/>
      <c r="L60" s="1997"/>
      <c r="M60" s="1997"/>
      <c r="N60" s="1997"/>
      <c r="O60" s="1997"/>
      <c r="P60" s="1997"/>
      <c r="Q60" s="1997"/>
      <c r="R60" s="1997"/>
      <c r="S60" s="1997"/>
      <c r="T60" s="1997"/>
      <c r="U60" s="1997"/>
      <c r="V60" s="1997"/>
      <c r="W60" s="1997"/>
      <c r="X60" s="1997"/>
      <c r="Y60" s="1997"/>
      <c r="Z60" s="1997"/>
      <c r="AA60" s="1997"/>
      <c r="AB60" s="1997"/>
      <c r="AC60" s="1997"/>
      <c r="AD60" s="1997"/>
      <c r="AE60" s="1997"/>
      <c r="AF60" s="1997"/>
      <c r="AG60" s="1997"/>
      <c r="AH60" s="1997"/>
      <c r="AI60" s="1997"/>
      <c r="AJ60" s="1997"/>
      <c r="AK60" s="1997"/>
      <c r="AL60" s="1997"/>
      <c r="AM60" s="1997"/>
      <c r="AN60" s="1997"/>
      <c r="AO60" s="1997"/>
      <c r="AP60" s="1997"/>
      <c r="AQ60" s="1997"/>
      <c r="AR60" s="1997"/>
      <c r="AS60" s="1997"/>
      <c r="AT60" s="1997"/>
      <c r="AU60" s="1997"/>
      <c r="AV60" s="1997"/>
      <c r="AW60" s="1998"/>
      <c r="AX60" s="1208"/>
      <c r="AY60" s="1208"/>
      <c r="AZ60" s="1208"/>
      <c r="BA60" s="1208"/>
      <c r="BB60" s="1208"/>
      <c r="BC60" s="1208"/>
      <c r="BD60" s="1208"/>
      <c r="BE60" s="1215"/>
    </row>
    <row r="61" spans="1:77" ht="15.75" customHeight="1">
      <c r="A61" s="1208"/>
      <c r="B61" s="2178" t="str">
        <f>IF(B53="", "", B53)</f>
        <v>Services Company 2</v>
      </c>
      <c r="C61" s="2179"/>
      <c r="D61" s="2179"/>
      <c r="E61" s="2179"/>
      <c r="F61" s="2179"/>
      <c r="G61" s="2179"/>
      <c r="H61" s="2179"/>
      <c r="I61" s="2180"/>
      <c r="J61" s="2181"/>
      <c r="K61" s="1997"/>
      <c r="L61" s="1997"/>
      <c r="M61" s="1997"/>
      <c r="N61" s="1997"/>
      <c r="O61" s="1997"/>
      <c r="P61" s="1997"/>
      <c r="Q61" s="1997"/>
      <c r="R61" s="1997"/>
      <c r="S61" s="1997"/>
      <c r="T61" s="1997"/>
      <c r="U61" s="1997"/>
      <c r="V61" s="1997"/>
      <c r="W61" s="1997"/>
      <c r="X61" s="1997"/>
      <c r="Y61" s="1997"/>
      <c r="Z61" s="1997"/>
      <c r="AA61" s="1997"/>
      <c r="AB61" s="1997"/>
      <c r="AC61" s="1997"/>
      <c r="AD61" s="1997"/>
      <c r="AE61" s="1997"/>
      <c r="AF61" s="1997"/>
      <c r="AG61" s="1997"/>
      <c r="AH61" s="1997"/>
      <c r="AI61" s="1997"/>
      <c r="AJ61" s="1997"/>
      <c r="AK61" s="1997"/>
      <c r="AL61" s="1997"/>
      <c r="AM61" s="1997"/>
      <c r="AN61" s="1997"/>
      <c r="AO61" s="1997"/>
      <c r="AP61" s="1997"/>
      <c r="AQ61" s="1997"/>
      <c r="AR61" s="1997"/>
      <c r="AS61" s="1997"/>
      <c r="AT61" s="1997"/>
      <c r="AU61" s="1997"/>
      <c r="AV61" s="1997"/>
      <c r="AW61" s="1998"/>
      <c r="AX61" s="1208"/>
      <c r="AY61" s="1208"/>
      <c r="AZ61" s="1208"/>
      <c r="BA61" s="1208"/>
      <c r="BB61" s="1208"/>
      <c r="BC61" s="1208"/>
      <c r="BD61" s="1208"/>
      <c r="BE61" s="1215"/>
    </row>
    <row r="62" spans="1:77" ht="15.75" customHeight="1">
      <c r="A62" s="1208"/>
      <c r="B62" s="2178" t="str">
        <f>IF(B54="", "", B54)</f>
        <v/>
      </c>
      <c r="C62" s="2179"/>
      <c r="D62" s="2179"/>
      <c r="E62" s="2179"/>
      <c r="F62" s="2179"/>
      <c r="G62" s="2179"/>
      <c r="H62" s="2179"/>
      <c r="I62" s="2180"/>
      <c r="J62" s="2181"/>
      <c r="K62" s="1997"/>
      <c r="L62" s="1997"/>
      <c r="M62" s="1997"/>
      <c r="N62" s="1997"/>
      <c r="O62" s="1997"/>
      <c r="P62" s="1997"/>
      <c r="Q62" s="1997"/>
      <c r="R62" s="1997"/>
      <c r="S62" s="1997"/>
      <c r="T62" s="1997"/>
      <c r="U62" s="1997"/>
      <c r="V62" s="1997"/>
      <c r="W62" s="1997"/>
      <c r="X62" s="1997"/>
      <c r="Y62" s="1997"/>
      <c r="Z62" s="1997"/>
      <c r="AA62" s="1997"/>
      <c r="AB62" s="1997"/>
      <c r="AC62" s="1997"/>
      <c r="AD62" s="1997"/>
      <c r="AE62" s="1997"/>
      <c r="AF62" s="1997"/>
      <c r="AG62" s="1997"/>
      <c r="AH62" s="1997"/>
      <c r="AI62" s="1997"/>
      <c r="AJ62" s="1997"/>
      <c r="AK62" s="1997"/>
      <c r="AL62" s="1997"/>
      <c r="AM62" s="1997"/>
      <c r="AN62" s="1997"/>
      <c r="AO62" s="1997"/>
      <c r="AP62" s="1997"/>
      <c r="AQ62" s="1997"/>
      <c r="AR62" s="1997"/>
      <c r="AS62" s="1997"/>
      <c r="AT62" s="1997"/>
      <c r="AU62" s="1997"/>
      <c r="AV62" s="1997"/>
      <c r="AW62" s="1998"/>
      <c r="AX62" s="1208"/>
      <c r="AY62" s="1208"/>
      <c r="AZ62" s="1208"/>
      <c r="BA62" s="1208"/>
      <c r="BB62" s="1208"/>
      <c r="BC62" s="1208"/>
      <c r="BD62" s="1208"/>
      <c r="BE62" s="1215"/>
    </row>
    <row r="63" spans="1:77" ht="15.75" customHeight="1">
      <c r="A63" s="1208"/>
      <c r="B63" s="2178" t="str">
        <f>IF(B55="", "", B55)</f>
        <v/>
      </c>
      <c r="C63" s="2179"/>
      <c r="D63" s="2179"/>
      <c r="E63" s="2179"/>
      <c r="F63" s="2179"/>
      <c r="G63" s="2179"/>
      <c r="H63" s="2179"/>
      <c r="I63" s="2180"/>
      <c r="J63" s="2181"/>
      <c r="K63" s="1997"/>
      <c r="L63" s="1997"/>
      <c r="M63" s="1997"/>
      <c r="N63" s="1997"/>
      <c r="O63" s="1997"/>
      <c r="P63" s="1997"/>
      <c r="Q63" s="1997"/>
      <c r="R63" s="1997"/>
      <c r="S63" s="1997"/>
      <c r="T63" s="1997"/>
      <c r="U63" s="1997"/>
      <c r="V63" s="1997"/>
      <c r="W63" s="1997"/>
      <c r="X63" s="1997"/>
      <c r="Y63" s="1997"/>
      <c r="Z63" s="1997"/>
      <c r="AA63" s="1997"/>
      <c r="AB63" s="1997"/>
      <c r="AC63" s="1997"/>
      <c r="AD63" s="1997"/>
      <c r="AE63" s="1997"/>
      <c r="AF63" s="1997"/>
      <c r="AG63" s="1997"/>
      <c r="AH63" s="1997"/>
      <c r="AI63" s="1997"/>
      <c r="AJ63" s="1997"/>
      <c r="AK63" s="1997"/>
      <c r="AL63" s="1997"/>
      <c r="AM63" s="1997"/>
      <c r="AN63" s="1997"/>
      <c r="AO63" s="1997"/>
      <c r="AP63" s="1997"/>
      <c r="AQ63" s="1997"/>
      <c r="AR63" s="1997"/>
      <c r="AS63" s="1997"/>
      <c r="AT63" s="1997"/>
      <c r="AU63" s="1997"/>
      <c r="AV63" s="1997"/>
      <c r="AW63" s="1998"/>
      <c r="AX63" s="1208"/>
      <c r="AY63" s="1208"/>
      <c r="AZ63" s="1208"/>
      <c r="BA63" s="1208"/>
      <c r="BB63" s="1208"/>
      <c r="BC63" s="1208"/>
      <c r="BD63" s="1208"/>
      <c r="BE63" s="1215"/>
    </row>
    <row r="64" spans="1:77" ht="15.75" customHeight="1" thickBot="1">
      <c r="A64" s="1208"/>
      <c r="B64" s="2182" t="str">
        <f>IF(B56="", "", B56)</f>
        <v/>
      </c>
      <c r="C64" s="2183"/>
      <c r="D64" s="2183"/>
      <c r="E64" s="2183"/>
      <c r="F64" s="2183"/>
      <c r="G64" s="2183"/>
      <c r="H64" s="2183"/>
      <c r="I64" s="2184"/>
      <c r="J64" s="2185"/>
      <c r="K64" s="2168"/>
      <c r="L64" s="2168"/>
      <c r="M64" s="2168"/>
      <c r="N64" s="2168"/>
      <c r="O64" s="2168"/>
      <c r="P64" s="2168"/>
      <c r="Q64" s="2168"/>
      <c r="R64" s="2168"/>
      <c r="S64" s="2168"/>
      <c r="T64" s="2168"/>
      <c r="U64" s="2168"/>
      <c r="V64" s="2168"/>
      <c r="W64" s="2168"/>
      <c r="X64" s="2168"/>
      <c r="Y64" s="2168"/>
      <c r="Z64" s="2168"/>
      <c r="AA64" s="2168"/>
      <c r="AB64" s="2168"/>
      <c r="AC64" s="2168"/>
      <c r="AD64" s="2168"/>
      <c r="AE64" s="2168"/>
      <c r="AF64" s="2168"/>
      <c r="AG64" s="2168"/>
      <c r="AH64" s="2168"/>
      <c r="AI64" s="2168"/>
      <c r="AJ64" s="2168"/>
      <c r="AK64" s="2168"/>
      <c r="AL64" s="2168"/>
      <c r="AM64" s="2168"/>
      <c r="AN64" s="2168"/>
      <c r="AO64" s="2168"/>
      <c r="AP64" s="2168"/>
      <c r="AQ64" s="2168"/>
      <c r="AR64" s="2168"/>
      <c r="AS64" s="2168"/>
      <c r="AT64" s="2168"/>
      <c r="AU64" s="2168"/>
      <c r="AV64" s="2168"/>
      <c r="AW64" s="216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2330</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8" t="s">
        <v>2329</v>
      </c>
      <c r="C68" s="2109"/>
      <c r="D68" s="2109"/>
      <c r="E68" s="2109"/>
      <c r="F68" s="2109"/>
      <c r="G68" s="2109"/>
      <c r="H68" s="2109"/>
      <c r="I68" s="2109"/>
      <c r="J68" s="2109"/>
      <c r="K68" s="2109"/>
      <c r="L68" s="2109"/>
      <c r="M68" s="2109"/>
      <c r="N68" s="2109"/>
      <c r="O68" s="2109"/>
      <c r="P68" s="2109"/>
      <c r="Q68" s="2109"/>
      <c r="R68" s="2109"/>
      <c r="S68" s="2109"/>
      <c r="T68" s="2109"/>
      <c r="U68" s="2109"/>
      <c r="V68" s="2109"/>
      <c r="W68" s="2109"/>
      <c r="X68" s="2109"/>
      <c r="Y68" s="2109"/>
      <c r="Z68" s="2109"/>
      <c r="AA68" s="2110"/>
      <c r="AB68" s="1208"/>
      <c r="AC68" s="2031" t="s">
        <v>2328</v>
      </c>
      <c r="AD68" s="2032"/>
      <c r="AE68" s="2032"/>
      <c r="AF68" s="2032"/>
      <c r="AG68" s="2032"/>
      <c r="AH68" s="2032"/>
      <c r="AI68" s="2032"/>
      <c r="AJ68" s="2032"/>
      <c r="AK68" s="2032"/>
      <c r="AL68" s="2032"/>
      <c r="AM68" s="2032"/>
      <c r="AN68" s="2032"/>
      <c r="AO68" s="2032"/>
      <c r="AP68" s="2032"/>
      <c r="AQ68" s="2032"/>
      <c r="AR68" s="2032"/>
      <c r="AS68" s="2032"/>
      <c r="AT68" s="2032"/>
      <c r="AU68" s="2032"/>
      <c r="AV68" s="2170" t="s">
        <v>667</v>
      </c>
      <c r="AW68" s="2088"/>
      <c r="AX68" s="2088"/>
      <c r="AY68" s="2088"/>
      <c r="AZ68" s="2088"/>
      <c r="BA68" s="2088"/>
      <c r="BB68" s="2088"/>
      <c r="BC68" s="2089"/>
      <c r="BD68" s="1208"/>
      <c r="BE68" s="1215"/>
      <c r="BM68" s="1221" t="s">
        <v>2327</v>
      </c>
    </row>
    <row r="69" spans="1:94" ht="15.75" customHeight="1" thickTop="1" thickBot="1">
      <c r="A69" s="1208"/>
      <c r="B69" s="2171" t="s">
        <v>2326</v>
      </c>
      <c r="C69" s="2172"/>
      <c r="D69" s="2172"/>
      <c r="E69" s="2172"/>
      <c r="F69" s="2172"/>
      <c r="G69" s="2172"/>
      <c r="H69" s="2172"/>
      <c r="I69" s="2172"/>
      <c r="J69" s="2172"/>
      <c r="K69" s="2172"/>
      <c r="L69" s="2172"/>
      <c r="M69" s="2172"/>
      <c r="N69" s="2172"/>
      <c r="O69" s="2173" t="s">
        <v>2325</v>
      </c>
      <c r="P69" s="2174"/>
      <c r="Q69" s="2174"/>
      <c r="R69" s="2174"/>
      <c r="S69" s="2174"/>
      <c r="T69" s="2174"/>
      <c r="U69" s="2174"/>
      <c r="V69" s="2174"/>
      <c r="W69" s="2174"/>
      <c r="X69" s="2174"/>
      <c r="Y69" s="2174"/>
      <c r="Z69" s="2174"/>
      <c r="AA69" s="2175"/>
      <c r="AB69" s="1208"/>
      <c r="AC69" s="2176" t="s">
        <v>2324</v>
      </c>
      <c r="AD69" s="2177"/>
      <c r="AE69" s="2177"/>
      <c r="AF69" s="2177"/>
      <c r="AG69" s="2177"/>
      <c r="AH69" s="2177"/>
      <c r="AI69" s="2177"/>
      <c r="AJ69" s="2177"/>
      <c r="AK69" s="2177"/>
      <c r="AL69" s="2177"/>
      <c r="AM69" s="2177"/>
      <c r="AN69" s="2177"/>
      <c r="AO69" s="2177"/>
      <c r="AP69" s="2177"/>
      <c r="AQ69" s="2177"/>
      <c r="AR69" s="2177"/>
      <c r="AS69" s="2177"/>
      <c r="AT69" s="2177"/>
      <c r="AU69" s="2177"/>
      <c r="AV69" s="2170" t="s">
        <v>667</v>
      </c>
      <c r="AW69" s="2088"/>
      <c r="AX69" s="2088"/>
      <c r="AY69" s="2088"/>
      <c r="AZ69" s="2088"/>
      <c r="BA69" s="2088"/>
      <c r="BB69" s="2088"/>
      <c r="BC69" s="2089"/>
      <c r="BD69" s="1208"/>
      <c r="BE69" s="1215"/>
      <c r="BM69" s="1222" t="s">
        <v>543</v>
      </c>
    </row>
    <row r="70" spans="1:94" ht="15.75" customHeight="1">
      <c r="A70" s="1208"/>
      <c r="B70" s="2153" t="s">
        <v>2323</v>
      </c>
      <c r="C70" s="2154"/>
      <c r="D70" s="2154"/>
      <c r="E70" s="2154"/>
      <c r="F70" s="2154"/>
      <c r="G70" s="2154"/>
      <c r="H70" s="2154"/>
      <c r="I70" s="2154"/>
      <c r="J70" s="2154"/>
      <c r="K70" s="2154"/>
      <c r="L70" s="2154"/>
      <c r="M70" s="2154"/>
      <c r="N70" s="2154"/>
      <c r="O70" s="2039">
        <v>0</v>
      </c>
      <c r="P70" s="2039"/>
      <c r="Q70" s="2039"/>
      <c r="R70" s="2039"/>
      <c r="S70" s="2039"/>
      <c r="T70" s="2039"/>
      <c r="U70" s="2039"/>
      <c r="V70" s="2039"/>
      <c r="W70" s="2039"/>
      <c r="X70" s="2039"/>
      <c r="Y70" s="2039"/>
      <c r="Z70" s="2039"/>
      <c r="AA70" s="2155"/>
      <c r="AB70" s="1208"/>
      <c r="AC70" s="2077" t="s">
        <v>2322</v>
      </c>
      <c r="AD70" s="2033"/>
      <c r="AE70" s="2033"/>
      <c r="AF70" s="2164"/>
      <c r="AG70" s="2164"/>
      <c r="AH70" s="2164"/>
      <c r="AI70" s="2164"/>
      <c r="AJ70" s="2164"/>
      <c r="AK70" s="2164"/>
      <c r="AL70" s="2164"/>
      <c r="AM70" s="2164"/>
      <c r="AN70" s="2164"/>
      <c r="AO70" s="2164"/>
      <c r="AP70" s="2164"/>
      <c r="AQ70" s="2164"/>
      <c r="AR70" s="2164"/>
      <c r="AS70" s="2164"/>
      <c r="AT70" s="2164"/>
      <c r="AU70" s="2165"/>
      <c r="AV70" s="1208"/>
      <c r="AW70" s="1208"/>
      <c r="AX70" s="1208"/>
      <c r="AY70" s="1208"/>
      <c r="AZ70" s="1208"/>
      <c r="BA70" s="1208"/>
      <c r="BB70" s="1208"/>
      <c r="BC70" s="1208"/>
      <c r="BD70" s="1208"/>
      <c r="BE70" s="1215"/>
      <c r="BM70" s="1223" t="s">
        <v>667</v>
      </c>
    </row>
    <row r="71" spans="1:94" ht="15.75" customHeight="1" thickBot="1">
      <c r="A71" s="1208"/>
      <c r="B71" s="2153" t="s">
        <v>2321</v>
      </c>
      <c r="C71" s="2154"/>
      <c r="D71" s="2154"/>
      <c r="E71" s="2154"/>
      <c r="F71" s="2154"/>
      <c r="G71" s="2154"/>
      <c r="H71" s="2154"/>
      <c r="I71" s="2154"/>
      <c r="J71" s="2154"/>
      <c r="K71" s="2154"/>
      <c r="L71" s="2154"/>
      <c r="M71" s="2154"/>
      <c r="N71" s="2154"/>
      <c r="O71" s="2039">
        <v>0</v>
      </c>
      <c r="P71" s="2039"/>
      <c r="Q71" s="2039"/>
      <c r="R71" s="2039"/>
      <c r="S71" s="2039"/>
      <c r="T71" s="2039"/>
      <c r="U71" s="2039"/>
      <c r="V71" s="2039"/>
      <c r="W71" s="2039"/>
      <c r="X71" s="2039"/>
      <c r="Y71" s="2039"/>
      <c r="Z71" s="2039"/>
      <c r="AA71" s="2155"/>
      <c r="AB71" s="1208"/>
      <c r="AC71" s="2166" t="s">
        <v>2320</v>
      </c>
      <c r="AD71" s="2167"/>
      <c r="AE71" s="2167"/>
      <c r="AF71" s="2168"/>
      <c r="AG71" s="2168"/>
      <c r="AH71" s="2168"/>
      <c r="AI71" s="2168"/>
      <c r="AJ71" s="2168"/>
      <c r="AK71" s="2168"/>
      <c r="AL71" s="2168"/>
      <c r="AM71" s="2168"/>
      <c r="AN71" s="2168"/>
      <c r="AO71" s="2168"/>
      <c r="AP71" s="2168"/>
      <c r="AQ71" s="2168"/>
      <c r="AR71" s="2168"/>
      <c r="AS71" s="2168"/>
      <c r="AT71" s="2168"/>
      <c r="AU71" s="2169"/>
      <c r="AV71" s="1208"/>
      <c r="AW71" s="1208"/>
      <c r="AX71" s="1208"/>
      <c r="AY71" s="1208"/>
      <c r="AZ71" s="1208"/>
      <c r="BA71" s="1208"/>
      <c r="BB71" s="1208"/>
      <c r="BC71" s="1208"/>
      <c r="BD71" s="1208"/>
      <c r="BE71" s="1215"/>
      <c r="BM71" s="1204" t="s">
        <v>2319</v>
      </c>
    </row>
    <row r="72" spans="1:94" ht="15.75" customHeight="1">
      <c r="A72" s="1208"/>
      <c r="B72" s="2153" t="s">
        <v>2318</v>
      </c>
      <c r="C72" s="2154"/>
      <c r="D72" s="2154"/>
      <c r="E72" s="2154"/>
      <c r="F72" s="2154"/>
      <c r="G72" s="2154"/>
      <c r="H72" s="2154"/>
      <c r="I72" s="2154"/>
      <c r="J72" s="2154"/>
      <c r="K72" s="2154"/>
      <c r="L72" s="2154"/>
      <c r="M72" s="2154"/>
      <c r="N72" s="2154"/>
      <c r="O72" s="2039">
        <v>0</v>
      </c>
      <c r="P72" s="2039"/>
      <c r="Q72" s="2039"/>
      <c r="R72" s="2039"/>
      <c r="S72" s="2039"/>
      <c r="T72" s="2039"/>
      <c r="U72" s="2039"/>
      <c r="V72" s="2039"/>
      <c r="W72" s="2039"/>
      <c r="X72" s="2039"/>
      <c r="Y72" s="2039"/>
      <c r="Z72" s="2039"/>
      <c r="AA72" s="2155"/>
      <c r="AB72" s="1208"/>
      <c r="AC72" s="2156" t="s">
        <v>2317</v>
      </c>
      <c r="AD72" s="2157"/>
      <c r="AE72" s="2157"/>
      <c r="AF72" s="2157"/>
      <c r="AG72" s="2157"/>
      <c r="AH72" s="2157"/>
      <c r="AI72" s="2157"/>
      <c r="AJ72" s="2157"/>
      <c r="AK72" s="2157"/>
      <c r="AL72" s="2157"/>
      <c r="AM72" s="2157"/>
      <c r="AN72" s="2157"/>
      <c r="AO72" s="2157"/>
      <c r="AP72" s="2157"/>
      <c r="AQ72" s="2157"/>
      <c r="AR72" s="2157"/>
      <c r="AS72" s="2157"/>
      <c r="AT72" s="2157"/>
      <c r="AU72" s="2157"/>
      <c r="AV72" s="2033"/>
      <c r="AW72" s="2033"/>
      <c r="AX72" s="2033"/>
      <c r="AY72" s="2033"/>
      <c r="AZ72" s="2033"/>
      <c r="BA72" s="2033"/>
      <c r="BB72" s="2033"/>
      <c r="BC72" s="2034"/>
      <c r="BD72" s="1208"/>
      <c r="BE72" s="1215"/>
    </row>
    <row r="73" spans="1:94" ht="15.75" customHeight="1">
      <c r="A73" s="1208"/>
      <c r="B73" s="2158" t="s">
        <v>2316</v>
      </c>
      <c r="C73" s="2159"/>
      <c r="D73" s="2159"/>
      <c r="E73" s="2159"/>
      <c r="F73" s="2159"/>
      <c r="G73" s="2159"/>
      <c r="H73" s="2159"/>
      <c r="I73" s="2159"/>
      <c r="J73" s="2159"/>
      <c r="K73" s="2159"/>
      <c r="L73" s="2159"/>
      <c r="M73" s="2159"/>
      <c r="N73" s="2159"/>
      <c r="O73" s="2039">
        <v>0</v>
      </c>
      <c r="P73" s="2039"/>
      <c r="Q73" s="2039"/>
      <c r="R73" s="2039"/>
      <c r="S73" s="2039"/>
      <c r="T73" s="2039"/>
      <c r="U73" s="2039"/>
      <c r="V73" s="2039"/>
      <c r="W73" s="2039"/>
      <c r="X73" s="2039"/>
      <c r="Y73" s="2039"/>
      <c r="Z73" s="2039"/>
      <c r="AA73" s="2155"/>
      <c r="AB73" s="1208"/>
      <c r="AC73" s="2048" t="s">
        <v>2269</v>
      </c>
      <c r="AD73" s="2049"/>
      <c r="AE73" s="2049"/>
      <c r="AF73" s="2049"/>
      <c r="AG73" s="2049"/>
      <c r="AH73" s="2049"/>
      <c r="AI73" s="2049"/>
      <c r="AJ73" s="2049"/>
      <c r="AK73" s="2049"/>
      <c r="AL73" s="2049"/>
      <c r="AM73" s="2049"/>
      <c r="AN73" s="2049"/>
      <c r="AO73" s="2049"/>
      <c r="AP73" s="2049"/>
      <c r="AQ73" s="2049"/>
      <c r="AR73" s="2049"/>
      <c r="AS73" s="2049"/>
      <c r="AT73" s="2049"/>
      <c r="AU73" s="2049"/>
      <c r="AV73" s="2049"/>
      <c r="AW73" s="2049"/>
      <c r="AX73" s="2049"/>
      <c r="AY73" s="2049"/>
      <c r="AZ73" s="2049"/>
      <c r="BA73" s="2049"/>
      <c r="BB73" s="2049"/>
      <c r="BC73" s="2050"/>
      <c r="BD73" s="1208"/>
      <c r="BE73" s="1215"/>
      <c r="CK73" s="1206"/>
      <c r="CL73" s="1206"/>
      <c r="CM73" s="1206"/>
      <c r="CN73" s="1206"/>
      <c r="CO73" s="1206"/>
      <c r="CP73" s="1206"/>
    </row>
    <row r="74" spans="1:94" ht="15.75" customHeight="1">
      <c r="A74" s="1208"/>
      <c r="B74" s="1993"/>
      <c r="C74" s="1994"/>
      <c r="D74" s="1994"/>
      <c r="E74" s="1994"/>
      <c r="F74" s="1994"/>
      <c r="G74" s="1994"/>
      <c r="H74" s="1994"/>
      <c r="I74" s="1994"/>
      <c r="J74" s="1994"/>
      <c r="K74" s="1994"/>
      <c r="L74" s="1994"/>
      <c r="M74" s="1994"/>
      <c r="N74" s="1994"/>
      <c r="O74" s="2039"/>
      <c r="P74" s="2039"/>
      <c r="Q74" s="2039"/>
      <c r="R74" s="2039"/>
      <c r="S74" s="2039"/>
      <c r="T74" s="2039"/>
      <c r="U74" s="2039"/>
      <c r="V74" s="2039"/>
      <c r="W74" s="2039"/>
      <c r="X74" s="2039"/>
      <c r="Y74" s="2039"/>
      <c r="Z74" s="2039"/>
      <c r="AA74" s="2155"/>
      <c r="AB74" s="1208"/>
      <c r="AC74" s="2048"/>
      <c r="AD74" s="2049"/>
      <c r="AE74" s="2049"/>
      <c r="AF74" s="2049"/>
      <c r="AG74" s="2049"/>
      <c r="AH74" s="2049"/>
      <c r="AI74" s="2049"/>
      <c r="AJ74" s="2049"/>
      <c r="AK74" s="2049"/>
      <c r="AL74" s="2049"/>
      <c r="AM74" s="2049"/>
      <c r="AN74" s="2049"/>
      <c r="AO74" s="2049"/>
      <c r="AP74" s="2049"/>
      <c r="AQ74" s="2049"/>
      <c r="AR74" s="2049"/>
      <c r="AS74" s="2049"/>
      <c r="AT74" s="2049"/>
      <c r="AU74" s="2049"/>
      <c r="AV74" s="2049"/>
      <c r="AW74" s="2049"/>
      <c r="AX74" s="2049"/>
      <c r="AY74" s="2049"/>
      <c r="AZ74" s="2049"/>
      <c r="BA74" s="2049"/>
      <c r="BB74" s="2049"/>
      <c r="BC74" s="2050"/>
      <c r="BD74" s="1208"/>
      <c r="BE74" s="1215"/>
      <c r="CK74" s="1206"/>
      <c r="CL74" s="1206"/>
      <c r="CM74" s="1206"/>
      <c r="CN74" s="1206"/>
      <c r="CO74" s="1206"/>
      <c r="CP74" s="1206"/>
    </row>
    <row r="75" spans="1:94" ht="15.75" customHeight="1" thickBot="1">
      <c r="A75" s="1208"/>
      <c r="B75" s="2160" t="s">
        <v>124</v>
      </c>
      <c r="C75" s="2161"/>
      <c r="D75" s="2161"/>
      <c r="E75" s="2161"/>
      <c r="F75" s="2161"/>
      <c r="G75" s="2161"/>
      <c r="H75" s="2161"/>
      <c r="I75" s="2161"/>
      <c r="J75" s="2161"/>
      <c r="K75" s="2161"/>
      <c r="L75" s="2161"/>
      <c r="M75" s="2161"/>
      <c r="N75" s="2161"/>
      <c r="O75" s="2162">
        <f>SUM(O70:AA74)</f>
        <v>0</v>
      </c>
      <c r="P75" s="2162"/>
      <c r="Q75" s="2162"/>
      <c r="R75" s="2162"/>
      <c r="S75" s="2162"/>
      <c r="T75" s="2162"/>
      <c r="U75" s="2162"/>
      <c r="V75" s="2162"/>
      <c r="W75" s="2162"/>
      <c r="X75" s="2162"/>
      <c r="Y75" s="2162"/>
      <c r="Z75" s="2162"/>
      <c r="AA75" s="2163"/>
      <c r="AB75" s="1208"/>
      <c r="AC75" s="2048"/>
      <c r="AD75" s="2049"/>
      <c r="AE75" s="2049"/>
      <c r="AF75" s="2049"/>
      <c r="AG75" s="2049"/>
      <c r="AH75" s="2049"/>
      <c r="AI75" s="2049"/>
      <c r="AJ75" s="2049"/>
      <c r="AK75" s="2049"/>
      <c r="AL75" s="2049"/>
      <c r="AM75" s="2049"/>
      <c r="AN75" s="2049"/>
      <c r="AO75" s="2049"/>
      <c r="AP75" s="2049"/>
      <c r="AQ75" s="2049"/>
      <c r="AR75" s="2049"/>
      <c r="AS75" s="2049"/>
      <c r="AT75" s="2049"/>
      <c r="AU75" s="2049"/>
      <c r="AV75" s="2049"/>
      <c r="AW75" s="2049"/>
      <c r="AX75" s="2049"/>
      <c r="AY75" s="2049"/>
      <c r="AZ75" s="2049"/>
      <c r="BA75" s="2049"/>
      <c r="BB75" s="2049"/>
      <c r="BC75" s="205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8"/>
      <c r="AD76" s="2049"/>
      <c r="AE76" s="2049"/>
      <c r="AF76" s="2049"/>
      <c r="AG76" s="2049"/>
      <c r="AH76" s="2049"/>
      <c r="AI76" s="2049"/>
      <c r="AJ76" s="2049"/>
      <c r="AK76" s="2049"/>
      <c r="AL76" s="2049"/>
      <c r="AM76" s="2049"/>
      <c r="AN76" s="2049"/>
      <c r="AO76" s="2049"/>
      <c r="AP76" s="2049"/>
      <c r="AQ76" s="2049"/>
      <c r="AR76" s="2049"/>
      <c r="AS76" s="2049"/>
      <c r="AT76" s="2049"/>
      <c r="AU76" s="2049"/>
      <c r="AV76" s="2049"/>
      <c r="AW76" s="2049"/>
      <c r="AX76" s="2049"/>
      <c r="AY76" s="2049"/>
      <c r="AZ76" s="2049"/>
      <c r="BA76" s="2049"/>
      <c r="BB76" s="2049"/>
      <c r="BC76" s="205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1"/>
      <c r="AD77" s="2052"/>
      <c r="AE77" s="2052"/>
      <c r="AF77" s="2052"/>
      <c r="AG77" s="2052"/>
      <c r="AH77" s="2052"/>
      <c r="AI77" s="2052"/>
      <c r="AJ77" s="2052"/>
      <c r="AK77" s="2052"/>
      <c r="AL77" s="2052"/>
      <c r="AM77" s="2052"/>
      <c r="AN77" s="2052"/>
      <c r="AO77" s="2052"/>
      <c r="AP77" s="2052"/>
      <c r="AQ77" s="2052"/>
      <c r="AR77" s="2052"/>
      <c r="AS77" s="2052"/>
      <c r="AT77" s="2052"/>
      <c r="AU77" s="2052"/>
      <c r="AV77" s="2052"/>
      <c r="AW77" s="2052"/>
      <c r="AX77" s="2052"/>
      <c r="AY77" s="2052"/>
      <c r="AZ77" s="2052"/>
      <c r="BA77" s="2052"/>
      <c r="BB77" s="2052"/>
      <c r="BC77" s="2053"/>
      <c r="BD77" s="1208"/>
      <c r="BE77" s="1215"/>
      <c r="CK77" s="1206"/>
      <c r="CL77" s="1206"/>
      <c r="CM77" s="1206"/>
      <c r="CN77" s="1206"/>
      <c r="CO77" s="1206"/>
      <c r="CP77" s="1206"/>
    </row>
    <row r="78" spans="1:94" ht="15.75" customHeight="1" thickBot="1">
      <c r="A78" s="1208"/>
      <c r="B78" s="1224" t="s">
        <v>2315</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143"/>
      <c r="G79" s="2144"/>
      <c r="H79" s="2144"/>
      <c r="I79" s="2144"/>
      <c r="J79" s="2144"/>
      <c r="K79" s="2144"/>
      <c r="L79" s="2144"/>
      <c r="M79" s="2144"/>
      <c r="N79" s="2144"/>
      <c r="O79" s="2144"/>
      <c r="P79" s="2144"/>
      <c r="Q79" s="2144"/>
      <c r="R79" s="2144"/>
      <c r="S79" s="2144"/>
      <c r="T79" s="214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6" t="s">
        <v>2314</v>
      </c>
      <c r="C81" s="2147"/>
      <c r="D81" s="2147"/>
      <c r="E81" s="2147"/>
      <c r="F81" s="2147"/>
      <c r="G81" s="2147"/>
      <c r="H81" s="2147"/>
      <c r="I81" s="2147"/>
      <c r="J81" s="2147"/>
      <c r="K81" s="2147"/>
      <c r="L81" s="2147"/>
      <c r="M81" s="2147"/>
      <c r="N81" s="2147"/>
      <c r="O81" s="2147"/>
      <c r="P81" s="2147"/>
      <c r="Q81" s="2147"/>
      <c r="R81" s="2147"/>
      <c r="S81" s="2147"/>
      <c r="T81" s="2147"/>
      <c r="U81" s="2147"/>
      <c r="V81" s="2147"/>
      <c r="W81" s="2147"/>
      <c r="X81" s="2147"/>
      <c r="Y81" s="2147"/>
      <c r="Z81" s="2147"/>
      <c r="AA81" s="2147"/>
      <c r="AB81" s="2147"/>
      <c r="AC81" s="2147"/>
      <c r="AD81" s="2147"/>
      <c r="AE81" s="2147"/>
      <c r="AF81" s="2147"/>
      <c r="AG81" s="2147"/>
      <c r="AH81" s="2148"/>
      <c r="AI81" s="1208"/>
      <c r="AJ81" s="2130" t="s">
        <v>2616</v>
      </c>
      <c r="AK81" s="2131"/>
      <c r="AL81" s="2131"/>
      <c r="AM81" s="2131"/>
      <c r="AN81" s="2131"/>
      <c r="AO81" s="2131"/>
      <c r="AP81" s="2131"/>
      <c r="AQ81" s="2131"/>
      <c r="AR81" s="2131"/>
      <c r="AS81" s="2131"/>
      <c r="AT81" s="2131"/>
      <c r="AU81" s="2131"/>
      <c r="AV81" s="2131"/>
      <c r="AW81" s="2131"/>
      <c r="AX81" s="2131"/>
      <c r="AY81" s="2149" t="s">
        <v>543</v>
      </c>
      <c r="AZ81" s="2149"/>
      <c r="BA81" s="2149"/>
      <c r="BB81" s="2150"/>
      <c r="BC81" s="1208"/>
      <c r="BD81" s="1208"/>
      <c r="BE81" s="1215"/>
      <c r="CK81" s="1206"/>
      <c r="CL81" s="1206"/>
      <c r="CM81" s="1206"/>
      <c r="CN81" s="1206"/>
      <c r="CO81" s="1206"/>
      <c r="CP81" s="1206"/>
    </row>
    <row r="82" spans="1:94" ht="15.75" customHeight="1">
      <c r="A82" s="1208"/>
      <c r="B82" s="2111"/>
      <c r="C82" s="2105"/>
      <c r="D82" s="2105"/>
      <c r="E82" s="2105"/>
      <c r="F82" s="2105"/>
      <c r="G82" s="2105"/>
      <c r="H82" s="2105"/>
      <c r="I82" s="2105" t="s">
        <v>2308</v>
      </c>
      <c r="J82" s="2105"/>
      <c r="K82" s="2105"/>
      <c r="L82" s="2105"/>
      <c r="M82" s="2105"/>
      <c r="N82" s="2105"/>
      <c r="O82" s="2105" t="s">
        <v>2285</v>
      </c>
      <c r="P82" s="2105"/>
      <c r="Q82" s="2105"/>
      <c r="R82" s="2105"/>
      <c r="S82" s="2105"/>
      <c r="T82" s="2105"/>
      <c r="U82" s="2105"/>
      <c r="V82" s="2141" t="s">
        <v>2284</v>
      </c>
      <c r="W82" s="2141"/>
      <c r="X82" s="2141"/>
      <c r="Y82" s="2141"/>
      <c r="Z82" s="2141"/>
      <c r="AA82" s="2141"/>
      <c r="AB82" s="2078" t="s">
        <v>2307</v>
      </c>
      <c r="AC82" s="2078"/>
      <c r="AD82" s="2078"/>
      <c r="AE82" s="2078"/>
      <c r="AF82" s="2078"/>
      <c r="AG82" s="2078"/>
      <c r="AH82" s="2142"/>
      <c r="AI82" s="1208"/>
      <c r="AJ82" s="2133"/>
      <c r="AK82" s="2134"/>
      <c r="AL82" s="2134"/>
      <c r="AM82" s="2134"/>
      <c r="AN82" s="2134"/>
      <c r="AO82" s="2134"/>
      <c r="AP82" s="2134"/>
      <c r="AQ82" s="2134"/>
      <c r="AR82" s="2134"/>
      <c r="AS82" s="2134"/>
      <c r="AT82" s="2134"/>
      <c r="AU82" s="2134"/>
      <c r="AV82" s="2134"/>
      <c r="AW82" s="2134"/>
      <c r="AX82" s="2134"/>
      <c r="AY82" s="2151"/>
      <c r="AZ82" s="2151"/>
      <c r="BA82" s="2151"/>
      <c r="BB82" s="2152"/>
      <c r="BC82" s="1208"/>
      <c r="BD82" s="1208"/>
      <c r="BE82" s="1215"/>
      <c r="CK82" s="1206"/>
      <c r="CL82" s="1206"/>
      <c r="CM82" s="1206"/>
      <c r="CN82" s="1206"/>
      <c r="CO82" s="1206"/>
      <c r="CP82" s="1206"/>
    </row>
    <row r="83" spans="1:94" ht="15.75" customHeight="1">
      <c r="A83" s="1208"/>
      <c r="B83" s="2111"/>
      <c r="C83" s="2105"/>
      <c r="D83" s="2105"/>
      <c r="E83" s="2105"/>
      <c r="F83" s="2105"/>
      <c r="G83" s="2105"/>
      <c r="H83" s="2105"/>
      <c r="I83" s="2105"/>
      <c r="J83" s="2105"/>
      <c r="K83" s="2105"/>
      <c r="L83" s="2105"/>
      <c r="M83" s="2105"/>
      <c r="N83" s="2105"/>
      <c r="O83" s="2105"/>
      <c r="P83" s="2105"/>
      <c r="Q83" s="2105"/>
      <c r="R83" s="2105"/>
      <c r="S83" s="2105"/>
      <c r="T83" s="2105"/>
      <c r="U83" s="2105"/>
      <c r="V83" s="2141"/>
      <c r="W83" s="2141"/>
      <c r="X83" s="2141"/>
      <c r="Y83" s="2141"/>
      <c r="Z83" s="2141"/>
      <c r="AA83" s="2141"/>
      <c r="AB83" s="2078"/>
      <c r="AC83" s="2078"/>
      <c r="AD83" s="2078"/>
      <c r="AE83" s="2078"/>
      <c r="AF83" s="2078"/>
      <c r="AG83" s="2078"/>
      <c r="AH83" s="2142"/>
      <c r="AI83" s="1208"/>
      <c r="AJ83" s="2133"/>
      <c r="AK83" s="2134"/>
      <c r="AL83" s="2134"/>
      <c r="AM83" s="2134"/>
      <c r="AN83" s="2134"/>
      <c r="AO83" s="2134"/>
      <c r="AP83" s="2134"/>
      <c r="AQ83" s="2134"/>
      <c r="AR83" s="2134"/>
      <c r="AS83" s="2134"/>
      <c r="AT83" s="2134"/>
      <c r="AU83" s="2134"/>
      <c r="AV83" s="2134"/>
      <c r="AW83" s="2134"/>
      <c r="AX83" s="2134"/>
      <c r="AY83" s="2151"/>
      <c r="AZ83" s="2151"/>
      <c r="BA83" s="2151"/>
      <c r="BB83" s="2152"/>
      <c r="BC83" s="1208"/>
      <c r="BD83" s="1208"/>
      <c r="BE83" s="1215"/>
      <c r="CK83" s="1206"/>
      <c r="CL83" s="1206"/>
      <c r="CM83" s="1206"/>
      <c r="CN83" s="1206"/>
      <c r="CO83" s="1206"/>
      <c r="CP83" s="1206"/>
    </row>
    <row r="84" spans="1:94" ht="15.75" customHeight="1">
      <c r="A84" s="1208"/>
      <c r="B84" s="2111" t="s">
        <v>2306</v>
      </c>
      <c r="C84" s="2105"/>
      <c r="D84" s="2105"/>
      <c r="E84" s="2105"/>
      <c r="F84" s="2105"/>
      <c r="G84" s="2105"/>
      <c r="H84" s="2105"/>
      <c r="I84" s="2081">
        <v>0</v>
      </c>
      <c r="J84" s="2081"/>
      <c r="K84" s="2081"/>
      <c r="L84" s="2081"/>
      <c r="M84" s="2081"/>
      <c r="N84" s="2081"/>
      <c r="O84" s="2081">
        <v>0</v>
      </c>
      <c r="P84" s="2081"/>
      <c r="Q84" s="2081"/>
      <c r="R84" s="2081"/>
      <c r="S84" s="2081"/>
      <c r="T84" s="2081"/>
      <c r="U84" s="2081"/>
      <c r="V84" s="2081">
        <v>0</v>
      </c>
      <c r="W84" s="2081"/>
      <c r="X84" s="2081"/>
      <c r="Y84" s="2081"/>
      <c r="Z84" s="2081"/>
      <c r="AA84" s="2081"/>
      <c r="AB84" s="2081">
        <v>0</v>
      </c>
      <c r="AC84" s="2081"/>
      <c r="AD84" s="2081"/>
      <c r="AE84" s="2081"/>
      <c r="AF84" s="2081"/>
      <c r="AG84" s="2081"/>
      <c r="AH84" s="2082"/>
      <c r="AI84" s="1208"/>
      <c r="AJ84" s="2133"/>
      <c r="AK84" s="2134"/>
      <c r="AL84" s="2134"/>
      <c r="AM84" s="2134"/>
      <c r="AN84" s="2134"/>
      <c r="AO84" s="2134"/>
      <c r="AP84" s="2134"/>
      <c r="AQ84" s="2134"/>
      <c r="AR84" s="2134"/>
      <c r="AS84" s="2134"/>
      <c r="AT84" s="2134"/>
      <c r="AU84" s="2134"/>
      <c r="AV84" s="2134"/>
      <c r="AW84" s="2134"/>
      <c r="AX84" s="2134"/>
      <c r="AY84" s="2151"/>
      <c r="AZ84" s="2151"/>
      <c r="BA84" s="2151"/>
      <c r="BB84" s="2152"/>
      <c r="BC84" s="1208"/>
      <c r="BD84" s="1208"/>
      <c r="BE84" s="1215"/>
      <c r="CK84" s="1206"/>
      <c r="CL84" s="1206"/>
      <c r="CM84" s="1206"/>
      <c r="CN84" s="1206"/>
      <c r="CO84" s="1206"/>
      <c r="CP84" s="1206"/>
    </row>
    <row r="85" spans="1:94" ht="15.75" customHeight="1">
      <c r="A85" s="1208"/>
      <c r="B85" s="2111" t="s">
        <v>2305</v>
      </c>
      <c r="C85" s="2105"/>
      <c r="D85" s="2105"/>
      <c r="E85" s="2105"/>
      <c r="F85" s="2105"/>
      <c r="G85" s="2105"/>
      <c r="H85" s="2105"/>
      <c r="I85" s="2081">
        <v>0</v>
      </c>
      <c r="J85" s="2081"/>
      <c r="K85" s="2081"/>
      <c r="L85" s="2081"/>
      <c r="M85" s="2081"/>
      <c r="N85" s="2081"/>
      <c r="O85" s="2081">
        <v>0</v>
      </c>
      <c r="P85" s="2081"/>
      <c r="Q85" s="2081"/>
      <c r="R85" s="2081"/>
      <c r="S85" s="2081"/>
      <c r="T85" s="2081"/>
      <c r="U85" s="2081"/>
      <c r="V85" s="2081">
        <v>0</v>
      </c>
      <c r="W85" s="2081"/>
      <c r="X85" s="2081"/>
      <c r="Y85" s="2081"/>
      <c r="Z85" s="2081"/>
      <c r="AA85" s="2081"/>
      <c r="AB85" s="2081">
        <v>0</v>
      </c>
      <c r="AC85" s="2081"/>
      <c r="AD85" s="2081"/>
      <c r="AE85" s="2081"/>
      <c r="AF85" s="2081"/>
      <c r="AG85" s="2081"/>
      <c r="AH85" s="2082"/>
      <c r="AI85" s="1208"/>
      <c r="AJ85" s="2048" t="s">
        <v>2311</v>
      </c>
      <c r="AK85" s="2049"/>
      <c r="AL85" s="2049"/>
      <c r="AM85" s="2049"/>
      <c r="AN85" s="2049"/>
      <c r="AO85" s="2049"/>
      <c r="AP85" s="2049"/>
      <c r="AQ85" s="2049"/>
      <c r="AR85" s="2049"/>
      <c r="AS85" s="2049"/>
      <c r="AT85" s="2049"/>
      <c r="AU85" s="2049"/>
      <c r="AV85" s="2049"/>
      <c r="AW85" s="2049"/>
      <c r="AX85" s="2049"/>
      <c r="AY85" s="2049"/>
      <c r="AZ85" s="2049"/>
      <c r="BA85" s="2049"/>
      <c r="BB85" s="2050"/>
      <c r="BC85" s="1208"/>
      <c r="BD85" s="1208"/>
      <c r="BE85" s="1215"/>
      <c r="CK85" s="1206"/>
      <c r="CL85" s="1206"/>
      <c r="CM85" s="1206"/>
      <c r="CN85" s="1206"/>
      <c r="CO85" s="1206"/>
      <c r="CP85" s="1206"/>
    </row>
    <row r="86" spans="1:94" ht="15.75" customHeight="1" thickBot="1">
      <c r="A86" s="1208"/>
      <c r="B86" s="2139" t="s">
        <v>2304</v>
      </c>
      <c r="C86" s="2140"/>
      <c r="D86" s="2140"/>
      <c r="E86" s="2140"/>
      <c r="F86" s="2140"/>
      <c r="G86" s="2140"/>
      <c r="H86" s="2140"/>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208"/>
      <c r="AJ86" s="2051"/>
      <c r="AK86" s="2052"/>
      <c r="AL86" s="2052"/>
      <c r="AM86" s="2052"/>
      <c r="AN86" s="2052"/>
      <c r="AO86" s="2052"/>
      <c r="AP86" s="2052"/>
      <c r="AQ86" s="2052"/>
      <c r="AR86" s="2052"/>
      <c r="AS86" s="2052"/>
      <c r="AT86" s="2052"/>
      <c r="AU86" s="2052"/>
      <c r="AV86" s="2052"/>
      <c r="AW86" s="2052"/>
      <c r="AX86" s="2052"/>
      <c r="AY86" s="2052"/>
      <c r="AZ86" s="2052"/>
      <c r="BA86" s="2052"/>
      <c r="BB86" s="205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2313</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143"/>
      <c r="G90" s="2144"/>
      <c r="H90" s="2144"/>
      <c r="I90" s="2144"/>
      <c r="J90" s="2144"/>
      <c r="K90" s="2144"/>
      <c r="L90" s="2144"/>
      <c r="M90" s="2144"/>
      <c r="N90" s="2144"/>
      <c r="O90" s="2144"/>
      <c r="P90" s="2144"/>
      <c r="Q90" s="2144"/>
      <c r="R90" s="2144"/>
      <c r="S90" s="2144"/>
      <c r="T90" s="214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6" t="s">
        <v>2312</v>
      </c>
      <c r="C92" s="2147"/>
      <c r="D92" s="2147"/>
      <c r="E92" s="2147"/>
      <c r="F92" s="2147"/>
      <c r="G92" s="2147"/>
      <c r="H92" s="2147"/>
      <c r="I92" s="2147"/>
      <c r="J92" s="2147"/>
      <c r="K92" s="2147"/>
      <c r="L92" s="2147"/>
      <c r="M92" s="2147"/>
      <c r="N92" s="2147"/>
      <c r="O92" s="2147"/>
      <c r="P92" s="2147"/>
      <c r="Q92" s="2147"/>
      <c r="R92" s="2147"/>
      <c r="S92" s="2147"/>
      <c r="T92" s="2147"/>
      <c r="U92" s="2147"/>
      <c r="V92" s="2147"/>
      <c r="W92" s="2147"/>
      <c r="X92" s="2147"/>
      <c r="Y92" s="2147"/>
      <c r="Z92" s="2147"/>
      <c r="AA92" s="2147"/>
      <c r="AB92" s="2147"/>
      <c r="AC92" s="2147"/>
      <c r="AD92" s="2147"/>
      <c r="AE92" s="2147"/>
      <c r="AF92" s="2147"/>
      <c r="AG92" s="2147"/>
      <c r="AH92" s="2148"/>
      <c r="AI92" s="1208"/>
      <c r="AJ92" s="2130" t="s">
        <v>2617</v>
      </c>
      <c r="AK92" s="2131"/>
      <c r="AL92" s="2131"/>
      <c r="AM92" s="2131"/>
      <c r="AN92" s="2131"/>
      <c r="AO92" s="2131"/>
      <c r="AP92" s="2131"/>
      <c r="AQ92" s="2131"/>
      <c r="AR92" s="2131"/>
      <c r="AS92" s="2131"/>
      <c r="AT92" s="2131"/>
      <c r="AU92" s="2131"/>
      <c r="AV92" s="2131"/>
      <c r="AW92" s="2131"/>
      <c r="AX92" s="2131"/>
      <c r="AY92" s="2149" t="s">
        <v>543</v>
      </c>
      <c r="AZ92" s="2149"/>
      <c r="BA92" s="2149"/>
      <c r="BB92" s="215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1"/>
      <c r="C93" s="2105"/>
      <c r="D93" s="2105"/>
      <c r="E93" s="2105"/>
      <c r="F93" s="2105"/>
      <c r="G93" s="2105"/>
      <c r="H93" s="2105"/>
      <c r="I93" s="2105" t="s">
        <v>2308</v>
      </c>
      <c r="J93" s="2105"/>
      <c r="K93" s="2105"/>
      <c r="L93" s="2105"/>
      <c r="M93" s="2105"/>
      <c r="N93" s="2105"/>
      <c r="O93" s="2105" t="s">
        <v>2285</v>
      </c>
      <c r="P93" s="2105"/>
      <c r="Q93" s="2105"/>
      <c r="R93" s="2105"/>
      <c r="S93" s="2105"/>
      <c r="T93" s="2105"/>
      <c r="U93" s="2105"/>
      <c r="V93" s="2141" t="s">
        <v>2284</v>
      </c>
      <c r="W93" s="2141"/>
      <c r="X93" s="2141"/>
      <c r="Y93" s="2141"/>
      <c r="Z93" s="2141"/>
      <c r="AA93" s="2141"/>
      <c r="AB93" s="2078" t="s">
        <v>2307</v>
      </c>
      <c r="AC93" s="2078"/>
      <c r="AD93" s="2078"/>
      <c r="AE93" s="2078"/>
      <c r="AF93" s="2078"/>
      <c r="AG93" s="2078"/>
      <c r="AH93" s="2142"/>
      <c r="AI93" s="1208"/>
      <c r="AJ93" s="2133"/>
      <c r="AK93" s="2134"/>
      <c r="AL93" s="2134"/>
      <c r="AM93" s="2134"/>
      <c r="AN93" s="2134"/>
      <c r="AO93" s="2134"/>
      <c r="AP93" s="2134"/>
      <c r="AQ93" s="2134"/>
      <c r="AR93" s="2134"/>
      <c r="AS93" s="2134"/>
      <c r="AT93" s="2134"/>
      <c r="AU93" s="2134"/>
      <c r="AV93" s="2134"/>
      <c r="AW93" s="2134"/>
      <c r="AX93" s="2134"/>
      <c r="AY93" s="2151"/>
      <c r="AZ93" s="2151"/>
      <c r="BA93" s="2151"/>
      <c r="BB93" s="215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1"/>
      <c r="C94" s="2105"/>
      <c r="D94" s="2105"/>
      <c r="E94" s="2105"/>
      <c r="F94" s="2105"/>
      <c r="G94" s="2105"/>
      <c r="H94" s="2105"/>
      <c r="I94" s="2105"/>
      <c r="J94" s="2105"/>
      <c r="K94" s="2105"/>
      <c r="L94" s="2105"/>
      <c r="M94" s="2105"/>
      <c r="N94" s="2105"/>
      <c r="O94" s="2105"/>
      <c r="P94" s="2105"/>
      <c r="Q94" s="2105"/>
      <c r="R94" s="2105"/>
      <c r="S94" s="2105"/>
      <c r="T94" s="2105"/>
      <c r="U94" s="2105"/>
      <c r="V94" s="2141"/>
      <c r="W94" s="2141"/>
      <c r="X94" s="2141"/>
      <c r="Y94" s="2141"/>
      <c r="Z94" s="2141"/>
      <c r="AA94" s="2141"/>
      <c r="AB94" s="2078"/>
      <c r="AC94" s="2078"/>
      <c r="AD94" s="2078"/>
      <c r="AE94" s="2078"/>
      <c r="AF94" s="2078"/>
      <c r="AG94" s="2078"/>
      <c r="AH94" s="2142"/>
      <c r="AI94" s="1208"/>
      <c r="AJ94" s="2133"/>
      <c r="AK94" s="2134"/>
      <c r="AL94" s="2134"/>
      <c r="AM94" s="2134"/>
      <c r="AN94" s="2134"/>
      <c r="AO94" s="2134"/>
      <c r="AP94" s="2134"/>
      <c r="AQ94" s="2134"/>
      <c r="AR94" s="2134"/>
      <c r="AS94" s="2134"/>
      <c r="AT94" s="2134"/>
      <c r="AU94" s="2134"/>
      <c r="AV94" s="2134"/>
      <c r="AW94" s="2134"/>
      <c r="AX94" s="2134"/>
      <c r="AY94" s="2151"/>
      <c r="AZ94" s="2151"/>
      <c r="BA94" s="2151"/>
      <c r="BB94" s="215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1" t="s">
        <v>2306</v>
      </c>
      <c r="C95" s="2105"/>
      <c r="D95" s="2105"/>
      <c r="E95" s="2105"/>
      <c r="F95" s="2105"/>
      <c r="G95" s="2105"/>
      <c r="H95" s="2105"/>
      <c r="I95" s="2081">
        <v>0</v>
      </c>
      <c r="J95" s="2081"/>
      <c r="K95" s="2081"/>
      <c r="L95" s="2081"/>
      <c r="M95" s="2081"/>
      <c r="N95" s="2081"/>
      <c r="O95" s="2081">
        <v>0</v>
      </c>
      <c r="P95" s="2081"/>
      <c r="Q95" s="2081"/>
      <c r="R95" s="2081"/>
      <c r="S95" s="2081"/>
      <c r="T95" s="2081"/>
      <c r="U95" s="2081"/>
      <c r="V95" s="2081">
        <v>0</v>
      </c>
      <c r="W95" s="2081"/>
      <c r="X95" s="2081"/>
      <c r="Y95" s="2081"/>
      <c r="Z95" s="2081"/>
      <c r="AA95" s="2081"/>
      <c r="AB95" s="2081">
        <v>0</v>
      </c>
      <c r="AC95" s="2081"/>
      <c r="AD95" s="2081"/>
      <c r="AE95" s="2081"/>
      <c r="AF95" s="2081"/>
      <c r="AG95" s="2081"/>
      <c r="AH95" s="2082"/>
      <c r="AI95" s="1208"/>
      <c r="AJ95" s="2133"/>
      <c r="AK95" s="2134"/>
      <c r="AL95" s="2134"/>
      <c r="AM95" s="2134"/>
      <c r="AN95" s="2134"/>
      <c r="AO95" s="2134"/>
      <c r="AP95" s="2134"/>
      <c r="AQ95" s="2134"/>
      <c r="AR95" s="2134"/>
      <c r="AS95" s="2134"/>
      <c r="AT95" s="2134"/>
      <c r="AU95" s="2134"/>
      <c r="AV95" s="2134"/>
      <c r="AW95" s="2134"/>
      <c r="AX95" s="2134"/>
      <c r="AY95" s="2151"/>
      <c r="AZ95" s="2151"/>
      <c r="BA95" s="2151"/>
      <c r="BB95" s="215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1" t="s">
        <v>2305</v>
      </c>
      <c r="C96" s="2105"/>
      <c r="D96" s="2105"/>
      <c r="E96" s="2105"/>
      <c r="F96" s="2105"/>
      <c r="G96" s="2105"/>
      <c r="H96" s="2105"/>
      <c r="I96" s="2081">
        <v>0</v>
      </c>
      <c r="J96" s="2081"/>
      <c r="K96" s="2081"/>
      <c r="L96" s="2081"/>
      <c r="M96" s="2081"/>
      <c r="N96" s="2081"/>
      <c r="O96" s="2081">
        <v>0</v>
      </c>
      <c r="P96" s="2081"/>
      <c r="Q96" s="2081"/>
      <c r="R96" s="2081"/>
      <c r="S96" s="2081"/>
      <c r="T96" s="2081"/>
      <c r="U96" s="2081"/>
      <c r="V96" s="2081">
        <v>0</v>
      </c>
      <c r="W96" s="2081"/>
      <c r="X96" s="2081"/>
      <c r="Y96" s="2081"/>
      <c r="Z96" s="2081"/>
      <c r="AA96" s="2081"/>
      <c r="AB96" s="2081">
        <v>0</v>
      </c>
      <c r="AC96" s="2081"/>
      <c r="AD96" s="2081"/>
      <c r="AE96" s="2081"/>
      <c r="AF96" s="2081"/>
      <c r="AG96" s="2081"/>
      <c r="AH96" s="2082"/>
      <c r="AI96" s="1208"/>
      <c r="AJ96" s="2048" t="s">
        <v>2311</v>
      </c>
      <c r="AK96" s="2049"/>
      <c r="AL96" s="2049"/>
      <c r="AM96" s="2049"/>
      <c r="AN96" s="2049"/>
      <c r="AO96" s="2049"/>
      <c r="AP96" s="2049"/>
      <c r="AQ96" s="2049"/>
      <c r="AR96" s="2049"/>
      <c r="AS96" s="2049"/>
      <c r="AT96" s="2049"/>
      <c r="AU96" s="2049"/>
      <c r="AV96" s="2049"/>
      <c r="AW96" s="2049"/>
      <c r="AX96" s="2049"/>
      <c r="AY96" s="2049"/>
      <c r="AZ96" s="2049"/>
      <c r="BA96" s="2049"/>
      <c r="BB96" s="205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9" t="s">
        <v>2304</v>
      </c>
      <c r="C97" s="2140"/>
      <c r="D97" s="2140"/>
      <c r="E97" s="2140"/>
      <c r="F97" s="2140"/>
      <c r="G97" s="2140"/>
      <c r="H97" s="2140"/>
      <c r="I97" s="2075">
        <v>0</v>
      </c>
      <c r="J97" s="2075"/>
      <c r="K97" s="2075"/>
      <c r="L97" s="2075"/>
      <c r="M97" s="2075"/>
      <c r="N97" s="2075"/>
      <c r="O97" s="2075">
        <v>0</v>
      </c>
      <c r="P97" s="2075"/>
      <c r="Q97" s="2075"/>
      <c r="R97" s="2075"/>
      <c r="S97" s="2075"/>
      <c r="T97" s="2075"/>
      <c r="U97" s="2075"/>
      <c r="V97" s="2075">
        <v>0</v>
      </c>
      <c r="W97" s="2075"/>
      <c r="X97" s="2075"/>
      <c r="Y97" s="2075"/>
      <c r="Z97" s="2075"/>
      <c r="AA97" s="2075"/>
      <c r="AB97" s="2075">
        <v>0</v>
      </c>
      <c r="AC97" s="2075"/>
      <c r="AD97" s="2075"/>
      <c r="AE97" s="2075"/>
      <c r="AF97" s="2075"/>
      <c r="AG97" s="2075"/>
      <c r="AH97" s="2076"/>
      <c r="AI97" s="1208"/>
      <c r="AJ97" s="2051"/>
      <c r="AK97" s="2052"/>
      <c r="AL97" s="2052"/>
      <c r="AM97" s="2052"/>
      <c r="AN97" s="2052"/>
      <c r="AO97" s="2052"/>
      <c r="AP97" s="2052"/>
      <c r="AQ97" s="2052"/>
      <c r="AR97" s="2052"/>
      <c r="AS97" s="2052"/>
      <c r="AT97" s="2052"/>
      <c r="AU97" s="2052"/>
      <c r="AV97" s="2052"/>
      <c r="AW97" s="2052"/>
      <c r="AX97" s="2052"/>
      <c r="AY97" s="2052"/>
      <c r="AZ97" s="2052"/>
      <c r="BA97" s="2052"/>
      <c r="BB97" s="205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2310</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02"/>
      <c r="G100" s="2103"/>
      <c r="H100" s="2103"/>
      <c r="I100" s="2103"/>
      <c r="J100" s="2103"/>
      <c r="K100" s="2103"/>
      <c r="L100" s="2103"/>
      <c r="M100" s="2103"/>
      <c r="N100" s="2103"/>
      <c r="O100" s="2103"/>
      <c r="P100" s="2103"/>
      <c r="Q100" s="2103"/>
      <c r="R100" s="210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1" t="s">
        <v>2309</v>
      </c>
      <c r="C102" s="2032"/>
      <c r="D102" s="2032"/>
      <c r="E102" s="2032"/>
      <c r="F102" s="2032"/>
      <c r="G102" s="2032"/>
      <c r="H102" s="2032"/>
      <c r="I102" s="2032"/>
      <c r="J102" s="2032"/>
      <c r="K102" s="2032"/>
      <c r="L102" s="2032"/>
      <c r="M102" s="2032"/>
      <c r="N102" s="2032"/>
      <c r="O102" s="2032"/>
      <c r="P102" s="2032"/>
      <c r="Q102" s="2032"/>
      <c r="R102" s="2032"/>
      <c r="S102" s="2032"/>
      <c r="T102" s="2032"/>
      <c r="U102" s="2032"/>
      <c r="V102" s="2032"/>
      <c r="W102" s="2032"/>
      <c r="X102" s="2032"/>
      <c r="Y102" s="2032"/>
      <c r="Z102" s="2032"/>
      <c r="AA102" s="2032"/>
      <c r="AB102" s="2032"/>
      <c r="AC102" s="2032"/>
      <c r="AD102" s="2032"/>
      <c r="AE102" s="2032"/>
      <c r="AF102" s="2032"/>
      <c r="AG102" s="2032"/>
      <c r="AH102" s="204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1"/>
      <c r="C103" s="2105"/>
      <c r="D103" s="2105"/>
      <c r="E103" s="2105"/>
      <c r="F103" s="2105"/>
      <c r="G103" s="2105"/>
      <c r="H103" s="2105"/>
      <c r="I103" s="2105" t="s">
        <v>2308</v>
      </c>
      <c r="J103" s="2105"/>
      <c r="K103" s="2105"/>
      <c r="L103" s="2105"/>
      <c r="M103" s="2105"/>
      <c r="N103" s="2105"/>
      <c r="O103" s="2105" t="s">
        <v>2285</v>
      </c>
      <c r="P103" s="2105"/>
      <c r="Q103" s="2105"/>
      <c r="R103" s="2105"/>
      <c r="S103" s="2105"/>
      <c r="T103" s="2105"/>
      <c r="U103" s="2105"/>
      <c r="V103" s="2141" t="s">
        <v>2284</v>
      </c>
      <c r="W103" s="2141"/>
      <c r="X103" s="2141"/>
      <c r="Y103" s="2141"/>
      <c r="Z103" s="2141"/>
      <c r="AA103" s="2141"/>
      <c r="AB103" s="2078" t="s">
        <v>2307</v>
      </c>
      <c r="AC103" s="2078"/>
      <c r="AD103" s="2078"/>
      <c r="AE103" s="2078"/>
      <c r="AF103" s="2078"/>
      <c r="AG103" s="2078"/>
      <c r="AH103" s="214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1"/>
      <c r="C104" s="2105"/>
      <c r="D104" s="2105"/>
      <c r="E104" s="2105"/>
      <c r="F104" s="2105"/>
      <c r="G104" s="2105"/>
      <c r="H104" s="2105"/>
      <c r="I104" s="2105"/>
      <c r="J104" s="2105"/>
      <c r="K104" s="2105"/>
      <c r="L104" s="2105"/>
      <c r="M104" s="2105"/>
      <c r="N104" s="2105"/>
      <c r="O104" s="2105"/>
      <c r="P104" s="2105"/>
      <c r="Q104" s="2105"/>
      <c r="R104" s="2105"/>
      <c r="S104" s="2105"/>
      <c r="T104" s="2105"/>
      <c r="U104" s="2105"/>
      <c r="V104" s="2141"/>
      <c r="W104" s="2141"/>
      <c r="X104" s="2141"/>
      <c r="Y104" s="2141"/>
      <c r="Z104" s="2141"/>
      <c r="AA104" s="2141"/>
      <c r="AB104" s="2078"/>
      <c r="AC104" s="2078"/>
      <c r="AD104" s="2078"/>
      <c r="AE104" s="2078"/>
      <c r="AF104" s="2078"/>
      <c r="AG104" s="2078"/>
      <c r="AH104" s="214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1" t="s">
        <v>2306</v>
      </c>
      <c r="C105" s="2105"/>
      <c r="D105" s="2105"/>
      <c r="E105" s="2105"/>
      <c r="F105" s="2105"/>
      <c r="G105" s="2105"/>
      <c r="H105" s="2105"/>
      <c r="I105" s="2081">
        <v>0</v>
      </c>
      <c r="J105" s="2081"/>
      <c r="K105" s="2081"/>
      <c r="L105" s="2081"/>
      <c r="M105" s="2081"/>
      <c r="N105" s="2081"/>
      <c r="O105" s="2081">
        <v>0</v>
      </c>
      <c r="P105" s="2081"/>
      <c r="Q105" s="2081"/>
      <c r="R105" s="2081"/>
      <c r="S105" s="2081"/>
      <c r="T105" s="2081"/>
      <c r="U105" s="2081"/>
      <c r="V105" s="2081">
        <v>0</v>
      </c>
      <c r="W105" s="2081"/>
      <c r="X105" s="2081"/>
      <c r="Y105" s="2081"/>
      <c r="Z105" s="2081"/>
      <c r="AA105" s="2081"/>
      <c r="AB105" s="2081">
        <v>0</v>
      </c>
      <c r="AC105" s="2081"/>
      <c r="AD105" s="2081"/>
      <c r="AE105" s="2081"/>
      <c r="AF105" s="2081"/>
      <c r="AG105" s="2081"/>
      <c r="AH105" s="208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1" t="s">
        <v>2305</v>
      </c>
      <c r="C106" s="2105"/>
      <c r="D106" s="2105"/>
      <c r="E106" s="2105"/>
      <c r="F106" s="2105"/>
      <c r="G106" s="2105"/>
      <c r="H106" s="2105"/>
      <c r="I106" s="2081">
        <v>0</v>
      </c>
      <c r="J106" s="2081"/>
      <c r="K106" s="2081"/>
      <c r="L106" s="2081"/>
      <c r="M106" s="2081"/>
      <c r="N106" s="2081"/>
      <c r="O106" s="2081">
        <v>0</v>
      </c>
      <c r="P106" s="2081"/>
      <c r="Q106" s="2081"/>
      <c r="R106" s="2081"/>
      <c r="S106" s="2081"/>
      <c r="T106" s="2081"/>
      <c r="U106" s="2081"/>
      <c r="V106" s="2081">
        <v>0</v>
      </c>
      <c r="W106" s="2081"/>
      <c r="X106" s="2081"/>
      <c r="Y106" s="2081"/>
      <c r="Z106" s="2081"/>
      <c r="AA106" s="2081"/>
      <c r="AB106" s="2081">
        <v>0</v>
      </c>
      <c r="AC106" s="2081"/>
      <c r="AD106" s="2081"/>
      <c r="AE106" s="2081"/>
      <c r="AF106" s="2081"/>
      <c r="AG106" s="2081"/>
      <c r="AH106" s="208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9" t="s">
        <v>2304</v>
      </c>
      <c r="C107" s="2140"/>
      <c r="D107" s="2140"/>
      <c r="E107" s="2140"/>
      <c r="F107" s="2140"/>
      <c r="G107" s="2140"/>
      <c r="H107" s="2140"/>
      <c r="I107" s="2075">
        <v>0</v>
      </c>
      <c r="J107" s="2075"/>
      <c r="K107" s="2075"/>
      <c r="L107" s="2075"/>
      <c r="M107" s="2075"/>
      <c r="N107" s="2075"/>
      <c r="O107" s="2075">
        <v>0</v>
      </c>
      <c r="P107" s="2075"/>
      <c r="Q107" s="2075"/>
      <c r="R107" s="2075"/>
      <c r="S107" s="2075"/>
      <c r="T107" s="2075"/>
      <c r="U107" s="2075"/>
      <c r="V107" s="2075">
        <v>0</v>
      </c>
      <c r="W107" s="2075"/>
      <c r="X107" s="2075"/>
      <c r="Y107" s="2075"/>
      <c r="Z107" s="2075"/>
      <c r="AA107" s="2075"/>
      <c r="AB107" s="2075">
        <v>0</v>
      </c>
      <c r="AC107" s="2075"/>
      <c r="AD107" s="2075"/>
      <c r="AE107" s="2075"/>
      <c r="AF107" s="2075"/>
      <c r="AG107" s="2075"/>
      <c r="AH107" s="207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2303</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02"/>
      <c r="G110" s="2103"/>
      <c r="H110" s="2103"/>
      <c r="I110" s="2103"/>
      <c r="J110" s="2103"/>
      <c r="K110" s="2103"/>
      <c r="L110" s="2103"/>
      <c r="M110" s="2103"/>
      <c r="N110" s="2103"/>
      <c r="O110" s="2103"/>
      <c r="P110" s="2103"/>
      <c r="Q110" s="2103"/>
      <c r="R110" s="210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2" t="s">
        <v>2618</v>
      </c>
      <c r="C112" s="2113"/>
      <c r="D112" s="2113"/>
      <c r="E112" s="2113"/>
      <c r="F112" s="2113"/>
      <c r="G112" s="2113"/>
      <c r="H112" s="2113"/>
      <c r="I112" s="2113"/>
      <c r="J112" s="2113"/>
      <c r="K112" s="2113"/>
      <c r="L112" s="2113"/>
      <c r="M112" s="2113"/>
      <c r="N112" s="2113"/>
      <c r="O112" s="2113"/>
      <c r="P112" s="2113"/>
      <c r="Q112" s="2113"/>
      <c r="R112" s="2113"/>
      <c r="S112" s="2113"/>
      <c r="T112" s="2113"/>
      <c r="U112" s="2116" t="s">
        <v>543</v>
      </c>
      <c r="V112" s="2116"/>
      <c r="W112" s="2116"/>
      <c r="X112" s="211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4"/>
      <c r="C113" s="2115"/>
      <c r="D113" s="2115"/>
      <c r="E113" s="2115"/>
      <c r="F113" s="2115"/>
      <c r="G113" s="2115"/>
      <c r="H113" s="2115"/>
      <c r="I113" s="2115"/>
      <c r="J113" s="2115"/>
      <c r="K113" s="2115"/>
      <c r="L113" s="2115"/>
      <c r="M113" s="2115"/>
      <c r="N113" s="2115"/>
      <c r="O113" s="2115"/>
      <c r="P113" s="2115"/>
      <c r="Q113" s="2115"/>
      <c r="R113" s="2115"/>
      <c r="S113" s="2115"/>
      <c r="T113" s="2115"/>
      <c r="U113" s="2118"/>
      <c r="V113" s="2118"/>
      <c r="W113" s="2118"/>
      <c r="X113" s="211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4"/>
      <c r="C114" s="2115"/>
      <c r="D114" s="2115"/>
      <c r="E114" s="2115"/>
      <c r="F114" s="2115"/>
      <c r="G114" s="2115"/>
      <c r="H114" s="2115"/>
      <c r="I114" s="2115"/>
      <c r="J114" s="2115"/>
      <c r="K114" s="2115"/>
      <c r="L114" s="2115"/>
      <c r="M114" s="2115"/>
      <c r="N114" s="2115"/>
      <c r="O114" s="2115"/>
      <c r="P114" s="2115"/>
      <c r="Q114" s="2115"/>
      <c r="R114" s="2115"/>
      <c r="S114" s="2115"/>
      <c r="T114" s="2115"/>
      <c r="U114" s="2118"/>
      <c r="V114" s="2118"/>
      <c r="W114" s="2118"/>
      <c r="X114" s="211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4"/>
      <c r="C115" s="2115"/>
      <c r="D115" s="2115"/>
      <c r="E115" s="2115"/>
      <c r="F115" s="2115"/>
      <c r="G115" s="2115"/>
      <c r="H115" s="2115"/>
      <c r="I115" s="2115"/>
      <c r="J115" s="2115"/>
      <c r="K115" s="2115"/>
      <c r="L115" s="2115"/>
      <c r="M115" s="2115"/>
      <c r="N115" s="2115"/>
      <c r="O115" s="2115"/>
      <c r="P115" s="2115"/>
      <c r="Q115" s="2115"/>
      <c r="R115" s="2115"/>
      <c r="S115" s="2115"/>
      <c r="T115" s="2115"/>
      <c r="U115" s="2118"/>
      <c r="V115" s="2118"/>
      <c r="W115" s="2118"/>
      <c r="X115" s="211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0" t="s">
        <v>2618</v>
      </c>
      <c r="C116" s="2121"/>
      <c r="D116" s="2121"/>
      <c r="E116" s="2121"/>
      <c r="F116" s="2121"/>
      <c r="G116" s="2121"/>
      <c r="H116" s="2121"/>
      <c r="I116" s="2121"/>
      <c r="J116" s="2121"/>
      <c r="K116" s="2121"/>
      <c r="L116" s="2121"/>
      <c r="M116" s="2121"/>
      <c r="N116" s="2121"/>
      <c r="O116" s="2121"/>
      <c r="P116" s="2121"/>
      <c r="Q116" s="2121"/>
      <c r="R116" s="2121"/>
      <c r="S116" s="2121"/>
      <c r="T116" s="2121"/>
      <c r="U116" s="2124" t="s">
        <v>543</v>
      </c>
      <c r="V116" s="2124"/>
      <c r="W116" s="2124"/>
      <c r="X116" s="212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2"/>
      <c r="C117" s="2123"/>
      <c r="D117" s="2123"/>
      <c r="E117" s="2123"/>
      <c r="F117" s="2123"/>
      <c r="G117" s="2123"/>
      <c r="H117" s="2123"/>
      <c r="I117" s="2123"/>
      <c r="J117" s="2123"/>
      <c r="K117" s="2123"/>
      <c r="L117" s="2123"/>
      <c r="M117" s="2123"/>
      <c r="N117" s="2123"/>
      <c r="O117" s="2123"/>
      <c r="P117" s="2123"/>
      <c r="Q117" s="2123"/>
      <c r="R117" s="2123"/>
      <c r="S117" s="2123"/>
      <c r="T117" s="2123"/>
      <c r="U117" s="2126"/>
      <c r="V117" s="2126"/>
      <c r="W117" s="2126"/>
      <c r="X117" s="212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2302</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0" t="s">
        <v>2301</v>
      </c>
      <c r="Y120" s="2131"/>
      <c r="Z120" s="2131"/>
      <c r="AA120" s="2131"/>
      <c r="AB120" s="2131"/>
      <c r="AC120" s="2131"/>
      <c r="AD120" s="2131"/>
      <c r="AE120" s="2131"/>
      <c r="AF120" s="2131"/>
      <c r="AG120" s="2131"/>
      <c r="AH120" s="2131"/>
      <c r="AI120" s="2131"/>
      <c r="AJ120" s="2131"/>
      <c r="AK120" s="2131"/>
      <c r="AL120" s="2131"/>
      <c r="AM120" s="2131"/>
      <c r="AN120" s="2131"/>
      <c r="AO120" s="2131"/>
      <c r="AP120" s="2131"/>
      <c r="AQ120" s="2131"/>
      <c r="AR120" s="2131"/>
      <c r="AS120" s="2131"/>
      <c r="AT120" s="2131"/>
      <c r="AU120" s="2131"/>
      <c r="AV120" s="2131"/>
      <c r="AW120" s="2131"/>
      <c r="AX120" s="2131"/>
      <c r="AY120" s="2131"/>
      <c r="AZ120" s="2131"/>
      <c r="BA120" s="2131"/>
      <c r="BB120" s="2131"/>
      <c r="BC120" s="2131"/>
      <c r="BD120" s="2132"/>
      <c r="BE120" s="1215"/>
    </row>
    <row r="121" spans="1:57" ht="15.75" customHeight="1">
      <c r="A121" s="1208"/>
      <c r="B121" s="2136" t="s">
        <v>1564</v>
      </c>
      <c r="C121" s="2137"/>
      <c r="D121" s="2137"/>
      <c r="E121" s="2137"/>
      <c r="F121" s="2137"/>
      <c r="G121" s="2137"/>
      <c r="H121" s="2137"/>
      <c r="I121" s="2137"/>
      <c r="J121" s="2137"/>
      <c r="K121" s="2137"/>
      <c r="L121" s="2137"/>
      <c r="M121" s="2137"/>
      <c r="N121" s="2137"/>
      <c r="O121" s="2137"/>
      <c r="P121" s="2137"/>
      <c r="Q121" s="2137"/>
      <c r="R121" s="2137"/>
      <c r="S121" s="2137"/>
      <c r="T121" s="2137"/>
      <c r="U121" s="2138"/>
      <c r="V121" s="1208"/>
      <c r="W121" s="1208"/>
      <c r="X121" s="2133"/>
      <c r="Y121" s="2134"/>
      <c r="Z121" s="2134"/>
      <c r="AA121" s="2134"/>
      <c r="AB121" s="2134"/>
      <c r="AC121" s="2134"/>
      <c r="AD121" s="2134"/>
      <c r="AE121" s="2134"/>
      <c r="AF121" s="2134"/>
      <c r="AG121" s="2134"/>
      <c r="AH121" s="2134"/>
      <c r="AI121" s="2134"/>
      <c r="AJ121" s="2134"/>
      <c r="AK121" s="2134"/>
      <c r="AL121" s="2134"/>
      <c r="AM121" s="2134"/>
      <c r="AN121" s="2134"/>
      <c r="AO121" s="2134"/>
      <c r="AP121" s="2134"/>
      <c r="AQ121" s="2134"/>
      <c r="AR121" s="2134"/>
      <c r="AS121" s="2134"/>
      <c r="AT121" s="2134"/>
      <c r="AU121" s="2134"/>
      <c r="AV121" s="2134"/>
      <c r="AW121" s="2134"/>
      <c r="AX121" s="2134"/>
      <c r="AY121" s="2134"/>
      <c r="AZ121" s="2134"/>
      <c r="BA121" s="2134"/>
      <c r="BB121" s="2134"/>
      <c r="BC121" s="2134"/>
      <c r="BD121" s="2135"/>
      <c r="BE121" s="1215"/>
    </row>
    <row r="122" spans="1:57" ht="15.75" customHeight="1">
      <c r="A122" s="1208"/>
      <c r="B122" s="2045"/>
      <c r="C122" s="2046"/>
      <c r="D122" s="2046"/>
      <c r="E122" s="2046"/>
      <c r="F122" s="2046"/>
      <c r="G122" s="2046"/>
      <c r="H122" s="2046"/>
      <c r="I122" s="2105" t="s">
        <v>2300</v>
      </c>
      <c r="J122" s="2105"/>
      <c r="K122" s="2105"/>
      <c r="L122" s="2105"/>
      <c r="M122" s="2105"/>
      <c r="N122" s="2105"/>
      <c r="O122" s="2106" t="s">
        <v>2299</v>
      </c>
      <c r="P122" s="2106"/>
      <c r="Q122" s="2106"/>
      <c r="R122" s="2106"/>
      <c r="S122" s="2106"/>
      <c r="T122" s="2106"/>
      <c r="U122" s="2107"/>
      <c r="V122" s="1208"/>
      <c r="W122" s="1208"/>
      <c r="X122" s="2048" t="s">
        <v>2269</v>
      </c>
      <c r="Y122" s="2049"/>
      <c r="Z122" s="2049"/>
      <c r="AA122" s="2049"/>
      <c r="AB122" s="2049"/>
      <c r="AC122" s="2049"/>
      <c r="AD122" s="2049"/>
      <c r="AE122" s="2049"/>
      <c r="AF122" s="2049"/>
      <c r="AG122" s="2049"/>
      <c r="AH122" s="2049"/>
      <c r="AI122" s="2049"/>
      <c r="AJ122" s="2049"/>
      <c r="AK122" s="2049"/>
      <c r="AL122" s="2049"/>
      <c r="AM122" s="2049"/>
      <c r="AN122" s="2049"/>
      <c r="AO122" s="2049"/>
      <c r="AP122" s="2049"/>
      <c r="AQ122" s="2049"/>
      <c r="AR122" s="2049"/>
      <c r="AS122" s="2049"/>
      <c r="AT122" s="2049"/>
      <c r="AU122" s="2049"/>
      <c r="AV122" s="2049"/>
      <c r="AW122" s="2049"/>
      <c r="AX122" s="2049"/>
      <c r="AY122" s="2049"/>
      <c r="AZ122" s="2049"/>
      <c r="BA122" s="2049"/>
      <c r="BB122" s="2049"/>
      <c r="BC122" s="2049"/>
      <c r="BD122" s="2050"/>
      <c r="BE122" s="1215"/>
    </row>
    <row r="123" spans="1:57" ht="15.75" customHeight="1">
      <c r="A123" s="1208"/>
      <c r="B123" s="2079" t="s">
        <v>2283</v>
      </c>
      <c r="C123" s="2080"/>
      <c r="D123" s="2080"/>
      <c r="E123" s="2080"/>
      <c r="F123" s="2080"/>
      <c r="G123" s="2080"/>
      <c r="H123" s="2080"/>
      <c r="I123" s="2081">
        <v>0</v>
      </c>
      <c r="J123" s="2081"/>
      <c r="K123" s="2081"/>
      <c r="L123" s="2081"/>
      <c r="M123" s="2081"/>
      <c r="N123" s="2081"/>
      <c r="O123" s="2081">
        <v>0</v>
      </c>
      <c r="P123" s="2081"/>
      <c r="Q123" s="2081"/>
      <c r="R123" s="2081"/>
      <c r="S123" s="2081"/>
      <c r="T123" s="2081"/>
      <c r="U123" s="2082"/>
      <c r="V123" s="1208"/>
      <c r="W123" s="1208"/>
      <c r="X123" s="2048"/>
      <c r="Y123" s="2049"/>
      <c r="Z123" s="2049"/>
      <c r="AA123" s="2049"/>
      <c r="AB123" s="2049"/>
      <c r="AC123" s="2049"/>
      <c r="AD123" s="2049"/>
      <c r="AE123" s="2049"/>
      <c r="AF123" s="2049"/>
      <c r="AG123" s="2049"/>
      <c r="AH123" s="2049"/>
      <c r="AI123" s="2049"/>
      <c r="AJ123" s="2049"/>
      <c r="AK123" s="2049"/>
      <c r="AL123" s="2049"/>
      <c r="AM123" s="2049"/>
      <c r="AN123" s="2049"/>
      <c r="AO123" s="2049"/>
      <c r="AP123" s="2049"/>
      <c r="AQ123" s="2049"/>
      <c r="AR123" s="2049"/>
      <c r="AS123" s="2049"/>
      <c r="AT123" s="2049"/>
      <c r="AU123" s="2049"/>
      <c r="AV123" s="2049"/>
      <c r="AW123" s="2049"/>
      <c r="AX123" s="2049"/>
      <c r="AY123" s="2049"/>
      <c r="AZ123" s="2049"/>
      <c r="BA123" s="2049"/>
      <c r="BB123" s="2049"/>
      <c r="BC123" s="2049"/>
      <c r="BD123" s="2050"/>
      <c r="BE123" s="1215"/>
    </row>
    <row r="124" spans="1:57" ht="15.75" customHeight="1" thickBot="1">
      <c r="A124" s="1208"/>
      <c r="B124" s="2073" t="s">
        <v>2282</v>
      </c>
      <c r="C124" s="2074"/>
      <c r="D124" s="2074"/>
      <c r="E124" s="2074"/>
      <c r="F124" s="2074"/>
      <c r="G124" s="2074"/>
      <c r="H124" s="2074"/>
      <c r="I124" s="2075">
        <v>0</v>
      </c>
      <c r="J124" s="2075"/>
      <c r="K124" s="2075"/>
      <c r="L124" s="2075"/>
      <c r="M124" s="2075"/>
      <c r="N124" s="2075"/>
      <c r="O124" s="2128"/>
      <c r="P124" s="2128"/>
      <c r="Q124" s="2128"/>
      <c r="R124" s="2128"/>
      <c r="S124" s="2128"/>
      <c r="T124" s="2128"/>
      <c r="U124" s="2129"/>
      <c r="V124" s="1208"/>
      <c r="W124" s="1208"/>
      <c r="X124" s="2048"/>
      <c r="Y124" s="2049"/>
      <c r="Z124" s="2049"/>
      <c r="AA124" s="2049"/>
      <c r="AB124" s="2049"/>
      <c r="AC124" s="2049"/>
      <c r="AD124" s="2049"/>
      <c r="AE124" s="2049"/>
      <c r="AF124" s="2049"/>
      <c r="AG124" s="2049"/>
      <c r="AH124" s="2049"/>
      <c r="AI124" s="2049"/>
      <c r="AJ124" s="2049"/>
      <c r="AK124" s="2049"/>
      <c r="AL124" s="2049"/>
      <c r="AM124" s="2049"/>
      <c r="AN124" s="2049"/>
      <c r="AO124" s="2049"/>
      <c r="AP124" s="2049"/>
      <c r="AQ124" s="2049"/>
      <c r="AR124" s="2049"/>
      <c r="AS124" s="2049"/>
      <c r="AT124" s="2049"/>
      <c r="AU124" s="2049"/>
      <c r="AV124" s="2049"/>
      <c r="AW124" s="2049"/>
      <c r="AX124" s="2049"/>
      <c r="AY124" s="2049"/>
      <c r="AZ124" s="2049"/>
      <c r="BA124" s="2049"/>
      <c r="BB124" s="2049"/>
      <c r="BC124" s="2049"/>
      <c r="BD124" s="205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8"/>
      <c r="Y125" s="2049"/>
      <c r="Z125" s="2049"/>
      <c r="AA125" s="2049"/>
      <c r="AB125" s="2049"/>
      <c r="AC125" s="2049"/>
      <c r="AD125" s="2049"/>
      <c r="AE125" s="2049"/>
      <c r="AF125" s="2049"/>
      <c r="AG125" s="2049"/>
      <c r="AH125" s="2049"/>
      <c r="AI125" s="2049"/>
      <c r="AJ125" s="2049"/>
      <c r="AK125" s="2049"/>
      <c r="AL125" s="2049"/>
      <c r="AM125" s="2049"/>
      <c r="AN125" s="2049"/>
      <c r="AO125" s="2049"/>
      <c r="AP125" s="2049"/>
      <c r="AQ125" s="2049"/>
      <c r="AR125" s="2049"/>
      <c r="AS125" s="2049"/>
      <c r="AT125" s="2049"/>
      <c r="AU125" s="2049"/>
      <c r="AV125" s="2049"/>
      <c r="AW125" s="2049"/>
      <c r="AX125" s="2049"/>
      <c r="AY125" s="2049"/>
      <c r="AZ125" s="2049"/>
      <c r="BA125" s="2049"/>
      <c r="BB125" s="2049"/>
      <c r="BC125" s="2049"/>
      <c r="BD125" s="2050"/>
      <c r="BE125" s="1215"/>
    </row>
    <row r="126" spans="1:57" ht="15.75" customHeight="1" thickBot="1">
      <c r="A126" s="1208"/>
      <c r="B126" s="1231" t="s">
        <v>2298</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8"/>
      <c r="Y126" s="2049"/>
      <c r="Z126" s="2049"/>
      <c r="AA126" s="2049"/>
      <c r="AB126" s="2049"/>
      <c r="AC126" s="2049"/>
      <c r="AD126" s="2049"/>
      <c r="AE126" s="2049"/>
      <c r="AF126" s="2049"/>
      <c r="AG126" s="2049"/>
      <c r="AH126" s="2049"/>
      <c r="AI126" s="2049"/>
      <c r="AJ126" s="2049"/>
      <c r="AK126" s="2049"/>
      <c r="AL126" s="2049"/>
      <c r="AM126" s="2049"/>
      <c r="AN126" s="2049"/>
      <c r="AO126" s="2049"/>
      <c r="AP126" s="2049"/>
      <c r="AQ126" s="2049"/>
      <c r="AR126" s="2049"/>
      <c r="AS126" s="2049"/>
      <c r="AT126" s="2049"/>
      <c r="AU126" s="2049"/>
      <c r="AV126" s="2049"/>
      <c r="AW126" s="2049"/>
      <c r="AX126" s="2049"/>
      <c r="AY126" s="2049"/>
      <c r="AZ126" s="2049"/>
      <c r="BA126" s="2049"/>
      <c r="BB126" s="2049"/>
      <c r="BC126" s="2049"/>
      <c r="BD126" s="205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8"/>
      <c r="Y127" s="2049"/>
      <c r="Z127" s="2049"/>
      <c r="AA127" s="2049"/>
      <c r="AB127" s="2049"/>
      <c r="AC127" s="2049"/>
      <c r="AD127" s="2049"/>
      <c r="AE127" s="2049"/>
      <c r="AF127" s="2049"/>
      <c r="AG127" s="2049"/>
      <c r="AH127" s="2049"/>
      <c r="AI127" s="2049"/>
      <c r="AJ127" s="2049"/>
      <c r="AK127" s="2049"/>
      <c r="AL127" s="2049"/>
      <c r="AM127" s="2049"/>
      <c r="AN127" s="2049"/>
      <c r="AO127" s="2049"/>
      <c r="AP127" s="2049"/>
      <c r="AQ127" s="2049"/>
      <c r="AR127" s="2049"/>
      <c r="AS127" s="2049"/>
      <c r="AT127" s="2049"/>
      <c r="AU127" s="2049"/>
      <c r="AV127" s="2049"/>
      <c r="AW127" s="2049"/>
      <c r="AX127" s="2049"/>
      <c r="AY127" s="2049"/>
      <c r="AZ127" s="2049"/>
      <c r="BA127" s="2049"/>
      <c r="BB127" s="2049"/>
      <c r="BC127" s="2049"/>
      <c r="BD127" s="2050"/>
      <c r="BE127" s="1215"/>
    </row>
    <row r="128" spans="1:57" ht="15.75" customHeight="1">
      <c r="A128" s="1208"/>
      <c r="B128" s="2108" t="s">
        <v>2297</v>
      </c>
      <c r="C128" s="2109"/>
      <c r="D128" s="2109"/>
      <c r="E128" s="2109"/>
      <c r="F128" s="2109"/>
      <c r="G128" s="2109"/>
      <c r="H128" s="2109"/>
      <c r="I128" s="2109"/>
      <c r="J128" s="2109"/>
      <c r="K128" s="2109"/>
      <c r="L128" s="2109"/>
      <c r="M128" s="2109"/>
      <c r="N128" s="2109"/>
      <c r="O128" s="2109"/>
      <c r="P128" s="2109"/>
      <c r="Q128" s="2109"/>
      <c r="R128" s="2109"/>
      <c r="S128" s="2109"/>
      <c r="T128" s="2109"/>
      <c r="U128" s="2110"/>
      <c r="V128" s="1208"/>
      <c r="W128" s="1208"/>
      <c r="X128" s="2048"/>
      <c r="Y128" s="2049"/>
      <c r="Z128" s="2049"/>
      <c r="AA128" s="2049"/>
      <c r="AB128" s="2049"/>
      <c r="AC128" s="2049"/>
      <c r="AD128" s="2049"/>
      <c r="AE128" s="2049"/>
      <c r="AF128" s="2049"/>
      <c r="AG128" s="2049"/>
      <c r="AH128" s="2049"/>
      <c r="AI128" s="2049"/>
      <c r="AJ128" s="2049"/>
      <c r="AK128" s="2049"/>
      <c r="AL128" s="2049"/>
      <c r="AM128" s="2049"/>
      <c r="AN128" s="2049"/>
      <c r="AO128" s="2049"/>
      <c r="AP128" s="2049"/>
      <c r="AQ128" s="2049"/>
      <c r="AR128" s="2049"/>
      <c r="AS128" s="2049"/>
      <c r="AT128" s="2049"/>
      <c r="AU128" s="2049"/>
      <c r="AV128" s="2049"/>
      <c r="AW128" s="2049"/>
      <c r="AX128" s="2049"/>
      <c r="AY128" s="2049"/>
      <c r="AZ128" s="2049"/>
      <c r="BA128" s="2049"/>
      <c r="BB128" s="2049"/>
      <c r="BC128" s="2049"/>
      <c r="BD128" s="2050"/>
      <c r="BE128" s="1215"/>
    </row>
    <row r="129" spans="1:57" ht="15.75" customHeight="1">
      <c r="A129" s="1208"/>
      <c r="B129" s="2045"/>
      <c r="C129" s="2046"/>
      <c r="D129" s="2046"/>
      <c r="E129" s="2046"/>
      <c r="F129" s="2046"/>
      <c r="G129" s="2046"/>
      <c r="H129" s="2046"/>
      <c r="I129" s="2083" t="s">
        <v>2285</v>
      </c>
      <c r="J129" s="2083"/>
      <c r="K129" s="2083"/>
      <c r="L129" s="2083"/>
      <c r="M129" s="2083"/>
      <c r="N129" s="2083"/>
      <c r="O129" s="2083"/>
      <c r="P129" s="2083" t="s">
        <v>2284</v>
      </c>
      <c r="Q129" s="2083"/>
      <c r="R129" s="2083"/>
      <c r="S129" s="2083"/>
      <c r="T129" s="2083"/>
      <c r="U129" s="2084"/>
      <c r="V129" s="1208"/>
      <c r="W129" s="1208"/>
      <c r="X129" s="2048"/>
      <c r="Y129" s="2049"/>
      <c r="Z129" s="2049"/>
      <c r="AA129" s="2049"/>
      <c r="AB129" s="2049"/>
      <c r="AC129" s="2049"/>
      <c r="AD129" s="2049"/>
      <c r="AE129" s="2049"/>
      <c r="AF129" s="2049"/>
      <c r="AG129" s="2049"/>
      <c r="AH129" s="2049"/>
      <c r="AI129" s="2049"/>
      <c r="AJ129" s="2049"/>
      <c r="AK129" s="2049"/>
      <c r="AL129" s="2049"/>
      <c r="AM129" s="2049"/>
      <c r="AN129" s="2049"/>
      <c r="AO129" s="2049"/>
      <c r="AP129" s="2049"/>
      <c r="AQ129" s="2049"/>
      <c r="AR129" s="2049"/>
      <c r="AS129" s="2049"/>
      <c r="AT129" s="2049"/>
      <c r="AU129" s="2049"/>
      <c r="AV129" s="2049"/>
      <c r="AW129" s="2049"/>
      <c r="AX129" s="2049"/>
      <c r="AY129" s="2049"/>
      <c r="AZ129" s="2049"/>
      <c r="BA129" s="2049"/>
      <c r="BB129" s="2049"/>
      <c r="BC129" s="2049"/>
      <c r="BD129" s="2050"/>
      <c r="BE129" s="1215"/>
    </row>
    <row r="130" spans="1:57" ht="15.75" customHeight="1">
      <c r="A130" s="1208"/>
      <c r="B130" s="2045"/>
      <c r="C130" s="2046"/>
      <c r="D130" s="2046"/>
      <c r="E130" s="2046"/>
      <c r="F130" s="2046"/>
      <c r="G130" s="2046"/>
      <c r="H130" s="2046"/>
      <c r="I130" s="2083"/>
      <c r="J130" s="2083"/>
      <c r="K130" s="2083"/>
      <c r="L130" s="2083"/>
      <c r="M130" s="2083"/>
      <c r="N130" s="2083"/>
      <c r="O130" s="2083"/>
      <c r="P130" s="2083"/>
      <c r="Q130" s="2083"/>
      <c r="R130" s="2083"/>
      <c r="S130" s="2083"/>
      <c r="T130" s="2083"/>
      <c r="U130" s="2084"/>
      <c r="V130" s="1208"/>
      <c r="W130" s="1208"/>
      <c r="X130" s="2048"/>
      <c r="Y130" s="2049"/>
      <c r="Z130" s="2049"/>
      <c r="AA130" s="2049"/>
      <c r="AB130" s="2049"/>
      <c r="AC130" s="2049"/>
      <c r="AD130" s="2049"/>
      <c r="AE130" s="2049"/>
      <c r="AF130" s="2049"/>
      <c r="AG130" s="2049"/>
      <c r="AH130" s="2049"/>
      <c r="AI130" s="2049"/>
      <c r="AJ130" s="2049"/>
      <c r="AK130" s="2049"/>
      <c r="AL130" s="2049"/>
      <c r="AM130" s="2049"/>
      <c r="AN130" s="2049"/>
      <c r="AO130" s="2049"/>
      <c r="AP130" s="2049"/>
      <c r="AQ130" s="2049"/>
      <c r="AR130" s="2049"/>
      <c r="AS130" s="2049"/>
      <c r="AT130" s="2049"/>
      <c r="AU130" s="2049"/>
      <c r="AV130" s="2049"/>
      <c r="AW130" s="2049"/>
      <c r="AX130" s="2049"/>
      <c r="AY130" s="2049"/>
      <c r="AZ130" s="2049"/>
      <c r="BA130" s="2049"/>
      <c r="BB130" s="2049"/>
      <c r="BC130" s="2049"/>
      <c r="BD130" s="2050"/>
      <c r="BE130" s="1215"/>
    </row>
    <row r="131" spans="1:57" ht="15.75" customHeight="1">
      <c r="A131" s="1208"/>
      <c r="B131" s="2079" t="s">
        <v>2283</v>
      </c>
      <c r="C131" s="2080"/>
      <c r="D131" s="2080"/>
      <c r="E131" s="2080"/>
      <c r="F131" s="2080"/>
      <c r="G131" s="2080"/>
      <c r="H131" s="2080"/>
      <c r="I131" s="2081">
        <v>0</v>
      </c>
      <c r="J131" s="2081"/>
      <c r="K131" s="2081"/>
      <c r="L131" s="2081"/>
      <c r="M131" s="2081"/>
      <c r="N131" s="2081"/>
      <c r="O131" s="2081"/>
      <c r="P131" s="2081">
        <v>0</v>
      </c>
      <c r="Q131" s="2081"/>
      <c r="R131" s="2081"/>
      <c r="S131" s="2081"/>
      <c r="T131" s="2081"/>
      <c r="U131" s="2082"/>
      <c r="V131" s="1208"/>
      <c r="W131" s="1208"/>
      <c r="X131" s="2048"/>
      <c r="Y131" s="2049"/>
      <c r="Z131" s="2049"/>
      <c r="AA131" s="2049"/>
      <c r="AB131" s="2049"/>
      <c r="AC131" s="2049"/>
      <c r="AD131" s="2049"/>
      <c r="AE131" s="2049"/>
      <c r="AF131" s="2049"/>
      <c r="AG131" s="2049"/>
      <c r="AH131" s="2049"/>
      <c r="AI131" s="2049"/>
      <c r="AJ131" s="2049"/>
      <c r="AK131" s="2049"/>
      <c r="AL131" s="2049"/>
      <c r="AM131" s="2049"/>
      <c r="AN131" s="2049"/>
      <c r="AO131" s="2049"/>
      <c r="AP131" s="2049"/>
      <c r="AQ131" s="2049"/>
      <c r="AR131" s="2049"/>
      <c r="AS131" s="2049"/>
      <c r="AT131" s="2049"/>
      <c r="AU131" s="2049"/>
      <c r="AV131" s="2049"/>
      <c r="AW131" s="2049"/>
      <c r="AX131" s="2049"/>
      <c r="AY131" s="2049"/>
      <c r="AZ131" s="2049"/>
      <c r="BA131" s="2049"/>
      <c r="BB131" s="2049"/>
      <c r="BC131" s="2049"/>
      <c r="BD131" s="2050"/>
      <c r="BE131" s="1215"/>
    </row>
    <row r="132" spans="1:57" ht="15.75" customHeight="1" thickBot="1">
      <c r="A132" s="1208"/>
      <c r="B132" s="2073" t="s">
        <v>2282</v>
      </c>
      <c r="C132" s="2074"/>
      <c r="D132" s="2074"/>
      <c r="E132" s="2074"/>
      <c r="F132" s="2074"/>
      <c r="G132" s="2074"/>
      <c r="H132" s="2074"/>
      <c r="I132" s="2075">
        <v>0</v>
      </c>
      <c r="J132" s="2075"/>
      <c r="K132" s="2075"/>
      <c r="L132" s="2075"/>
      <c r="M132" s="2075"/>
      <c r="N132" s="2075"/>
      <c r="O132" s="2075"/>
      <c r="P132" s="2075">
        <v>0</v>
      </c>
      <c r="Q132" s="2075"/>
      <c r="R132" s="2075"/>
      <c r="S132" s="2075"/>
      <c r="T132" s="2075"/>
      <c r="U132" s="2076"/>
      <c r="V132" s="1208"/>
      <c r="W132" s="1208"/>
      <c r="X132" s="2051"/>
      <c r="Y132" s="2052"/>
      <c r="Z132" s="2052"/>
      <c r="AA132" s="2052"/>
      <c r="AB132" s="2052"/>
      <c r="AC132" s="2052"/>
      <c r="AD132" s="2052"/>
      <c r="AE132" s="2052"/>
      <c r="AF132" s="2052"/>
      <c r="AG132" s="2052"/>
      <c r="AH132" s="2052"/>
      <c r="AI132" s="2052"/>
      <c r="AJ132" s="2052"/>
      <c r="AK132" s="2052"/>
      <c r="AL132" s="2052"/>
      <c r="AM132" s="2052"/>
      <c r="AN132" s="2052"/>
      <c r="AO132" s="2052"/>
      <c r="AP132" s="2052"/>
      <c r="AQ132" s="2052"/>
      <c r="AR132" s="2052"/>
      <c r="AS132" s="2052"/>
      <c r="AT132" s="2052"/>
      <c r="AU132" s="2052"/>
      <c r="AV132" s="2052"/>
      <c r="AW132" s="2052"/>
      <c r="AX132" s="2052"/>
      <c r="AY132" s="2052"/>
      <c r="AZ132" s="2052"/>
      <c r="BA132" s="2052"/>
      <c r="BB132" s="2052"/>
      <c r="BC132" s="2052"/>
      <c r="BD132" s="205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0" t="s">
        <v>2296</v>
      </c>
      <c r="C134" s="2101"/>
      <c r="D134" s="2101"/>
      <c r="E134" s="2101"/>
      <c r="F134" s="2101"/>
      <c r="G134" s="2101"/>
      <c r="H134" s="2101"/>
      <c r="I134" s="2101"/>
      <c r="J134" s="2101"/>
      <c r="K134" s="2101"/>
      <c r="L134" s="2101"/>
      <c r="M134" s="2101"/>
      <c r="N134" s="2101"/>
      <c r="O134" s="2101"/>
      <c r="P134" s="2101"/>
      <c r="Q134" s="2101"/>
      <c r="R134" s="2101"/>
      <c r="S134" s="2101"/>
      <c r="T134" s="2101"/>
      <c r="U134" s="2101"/>
      <c r="V134" s="2101"/>
      <c r="W134" s="2101"/>
      <c r="X134" s="2101"/>
      <c r="Y134" s="2101"/>
      <c r="Z134" s="2101"/>
      <c r="AA134" s="2101"/>
      <c r="AB134" s="2101"/>
      <c r="AC134" s="2101"/>
      <c r="AD134" s="2101"/>
      <c r="AE134" s="2101"/>
      <c r="AF134" s="2101"/>
      <c r="AG134" s="2101"/>
      <c r="AH134" s="2088" t="s">
        <v>543</v>
      </c>
      <c r="AI134" s="2088"/>
      <c r="AJ134" s="2088"/>
      <c r="AK134" s="2088"/>
      <c r="AL134" s="2088"/>
      <c r="AM134" s="2088"/>
      <c r="AN134" s="2088"/>
      <c r="AO134" s="2088"/>
      <c r="AP134" s="2088"/>
      <c r="AQ134" s="2088"/>
      <c r="AR134" s="2088"/>
      <c r="AS134" s="2088"/>
      <c r="AT134" s="2088"/>
      <c r="AU134" s="2088"/>
      <c r="AV134" s="2088"/>
      <c r="AW134" s="2088"/>
      <c r="AX134" s="2089"/>
      <c r="AY134" s="1208"/>
      <c r="AZ134" s="1208"/>
      <c r="BA134" s="1208"/>
      <c r="BB134" s="1208"/>
      <c r="BC134" s="1208"/>
      <c r="BD134" s="1208"/>
      <c r="BE134" s="1215"/>
    </row>
    <row r="135" spans="1:57" ht="15.75" customHeight="1" thickBot="1">
      <c r="A135" s="1208"/>
      <c r="B135" s="2085" t="s">
        <v>2295</v>
      </c>
      <c r="C135" s="2086"/>
      <c r="D135" s="2086"/>
      <c r="E135" s="2086"/>
      <c r="F135" s="2086"/>
      <c r="G135" s="2086"/>
      <c r="H135" s="2086"/>
      <c r="I135" s="2086"/>
      <c r="J135" s="2086"/>
      <c r="K135" s="2086"/>
      <c r="L135" s="2086"/>
      <c r="M135" s="2086"/>
      <c r="N135" s="2086"/>
      <c r="O135" s="2086"/>
      <c r="P135" s="2086"/>
      <c r="Q135" s="2086"/>
      <c r="R135" s="2086"/>
      <c r="S135" s="2086"/>
      <c r="T135" s="2086"/>
      <c r="U135" s="2086"/>
      <c r="V135" s="2086"/>
      <c r="W135" s="2086"/>
      <c r="X135" s="2086"/>
      <c r="Y135" s="2086"/>
      <c r="Z135" s="2086"/>
      <c r="AA135" s="2086"/>
      <c r="AB135" s="2086"/>
      <c r="AC135" s="2086"/>
      <c r="AD135" s="2086"/>
      <c r="AE135" s="2086"/>
      <c r="AF135" s="2086"/>
      <c r="AG135" s="2087"/>
      <c r="AH135" s="2102"/>
      <c r="AI135" s="2103"/>
      <c r="AJ135" s="2103"/>
      <c r="AK135" s="2103"/>
      <c r="AL135" s="2103"/>
      <c r="AM135" s="2103"/>
      <c r="AN135" s="2103"/>
      <c r="AO135" s="2103"/>
      <c r="AP135" s="2103"/>
      <c r="AQ135" s="2103"/>
      <c r="AR135" s="2103"/>
      <c r="AS135" s="2103"/>
      <c r="AT135" s="2103"/>
      <c r="AU135" s="2103"/>
      <c r="AV135" s="2103"/>
      <c r="AW135" s="2103"/>
      <c r="AX135" s="2104"/>
      <c r="AY135" s="1208"/>
      <c r="AZ135" s="1208"/>
      <c r="BA135" s="1208"/>
      <c r="BB135" s="1208"/>
      <c r="BC135" s="1208"/>
      <c r="BD135" s="1208"/>
      <c r="BE135" s="1215"/>
    </row>
    <row r="136" spans="1:57" ht="15.75" customHeight="1">
      <c r="A136" s="1208"/>
      <c r="B136" s="2085" t="s">
        <v>2294</v>
      </c>
      <c r="C136" s="2086"/>
      <c r="D136" s="2086"/>
      <c r="E136" s="2086"/>
      <c r="F136" s="2086"/>
      <c r="G136" s="2086"/>
      <c r="H136" s="2086"/>
      <c r="I136" s="2086"/>
      <c r="J136" s="2086"/>
      <c r="K136" s="2086"/>
      <c r="L136" s="2086"/>
      <c r="M136" s="2086"/>
      <c r="N136" s="2086"/>
      <c r="O136" s="2086"/>
      <c r="P136" s="2086"/>
      <c r="Q136" s="2086"/>
      <c r="R136" s="2086"/>
      <c r="S136" s="2086"/>
      <c r="T136" s="2086"/>
      <c r="U136" s="2086"/>
      <c r="V136" s="2086"/>
      <c r="W136" s="2086"/>
      <c r="X136" s="2086"/>
      <c r="Y136" s="2086"/>
      <c r="Z136" s="2086"/>
      <c r="AA136" s="2086"/>
      <c r="AB136" s="2086"/>
      <c r="AC136" s="2086"/>
      <c r="AD136" s="2086"/>
      <c r="AE136" s="2086"/>
      <c r="AF136" s="2086"/>
      <c r="AG136" s="2087"/>
      <c r="AH136" s="2088" t="s">
        <v>543</v>
      </c>
      <c r="AI136" s="2088"/>
      <c r="AJ136" s="2088"/>
      <c r="AK136" s="2088"/>
      <c r="AL136" s="2088"/>
      <c r="AM136" s="2088"/>
      <c r="AN136" s="2088"/>
      <c r="AO136" s="2088"/>
      <c r="AP136" s="2088"/>
      <c r="AQ136" s="2088"/>
      <c r="AR136" s="2088"/>
      <c r="AS136" s="2088"/>
      <c r="AT136" s="2088"/>
      <c r="AU136" s="2088"/>
      <c r="AV136" s="2088"/>
      <c r="AW136" s="2088"/>
      <c r="AX136" s="2089"/>
      <c r="AY136" s="1208"/>
      <c r="AZ136" s="1208"/>
      <c r="BA136" s="1208"/>
      <c r="BB136" s="1208"/>
      <c r="BC136" s="1208"/>
      <c r="BD136" s="1208"/>
      <c r="BE136" s="1215"/>
    </row>
    <row r="137" spans="1:57" ht="15.75" customHeight="1">
      <c r="A137" s="1208"/>
      <c r="B137" s="2090" t="s">
        <v>2293</v>
      </c>
      <c r="C137" s="2091"/>
      <c r="D137" s="2091"/>
      <c r="E137" s="2091"/>
      <c r="F137" s="2091"/>
      <c r="G137" s="2091"/>
      <c r="H137" s="2091"/>
      <c r="I137" s="2091"/>
      <c r="J137" s="2091"/>
      <c r="K137" s="2091"/>
      <c r="L137" s="2091"/>
      <c r="M137" s="2091"/>
      <c r="N137" s="2091"/>
      <c r="O137" s="2091"/>
      <c r="P137" s="2091"/>
      <c r="Q137" s="2091"/>
      <c r="R137" s="2092" t="s">
        <v>2292</v>
      </c>
      <c r="S137" s="2092"/>
      <c r="T137" s="2092"/>
      <c r="U137" s="2092"/>
      <c r="V137" s="2092"/>
      <c r="W137" s="2092"/>
      <c r="X137" s="2092"/>
      <c r="Y137" s="2092"/>
      <c r="Z137" s="2092"/>
      <c r="AA137" s="2092"/>
      <c r="AB137" s="2092"/>
      <c r="AC137" s="2092"/>
      <c r="AD137" s="2092"/>
      <c r="AE137" s="2092"/>
      <c r="AF137" s="2092"/>
      <c r="AG137" s="2092"/>
      <c r="AH137" s="2092"/>
      <c r="AI137" s="2092"/>
      <c r="AJ137" s="2092"/>
      <c r="AK137" s="2092"/>
      <c r="AL137" s="2092"/>
      <c r="AM137" s="2092"/>
      <c r="AN137" s="2092"/>
      <c r="AO137" s="2092"/>
      <c r="AP137" s="2092"/>
      <c r="AQ137" s="2092"/>
      <c r="AR137" s="2092"/>
      <c r="AS137" s="2092"/>
      <c r="AT137" s="2092"/>
      <c r="AU137" s="2092"/>
      <c r="AV137" s="2092"/>
      <c r="AW137" s="2092"/>
      <c r="AX137" s="2093"/>
      <c r="AY137" s="1208"/>
      <c r="AZ137" s="1208"/>
      <c r="BA137" s="1208"/>
      <c r="BB137" s="1208"/>
      <c r="BC137" s="1208" t="s">
        <v>249</v>
      </c>
      <c r="BD137" s="1208"/>
      <c r="BE137" s="1215"/>
    </row>
    <row r="138" spans="1:57" ht="15.75" customHeight="1">
      <c r="A138" s="1208"/>
      <c r="B138" s="2094" t="s">
        <v>2291</v>
      </c>
      <c r="C138" s="2095"/>
      <c r="D138" s="2095"/>
      <c r="E138" s="2095"/>
      <c r="F138" s="2095"/>
      <c r="G138" s="2095"/>
      <c r="H138" s="2095"/>
      <c r="I138" s="2095"/>
      <c r="J138" s="2095"/>
      <c r="K138" s="2095"/>
      <c r="L138" s="2095"/>
      <c r="M138" s="2095"/>
      <c r="N138" s="2095"/>
      <c r="O138" s="2095"/>
      <c r="P138" s="2095"/>
      <c r="Q138" s="2095"/>
      <c r="R138" s="2095"/>
      <c r="S138" s="2095"/>
      <c r="T138" s="2095"/>
      <c r="U138" s="2095"/>
      <c r="V138" s="2095"/>
      <c r="W138" s="2095"/>
      <c r="X138" s="2095"/>
      <c r="Y138" s="2095"/>
      <c r="Z138" s="2095"/>
      <c r="AA138" s="2095"/>
      <c r="AB138" s="2095"/>
      <c r="AC138" s="2095"/>
      <c r="AD138" s="2095"/>
      <c r="AE138" s="2095"/>
      <c r="AF138" s="2095"/>
      <c r="AG138" s="2095"/>
      <c r="AH138" s="2095"/>
      <c r="AI138" s="2095"/>
      <c r="AJ138" s="2095"/>
      <c r="AK138" s="2095"/>
      <c r="AL138" s="2095"/>
      <c r="AM138" s="2095"/>
      <c r="AN138" s="2095"/>
      <c r="AO138" s="2095"/>
      <c r="AP138" s="2095"/>
      <c r="AQ138" s="2095"/>
      <c r="AR138" s="2095"/>
      <c r="AS138" s="2095"/>
      <c r="AT138" s="2095"/>
      <c r="AU138" s="2095"/>
      <c r="AV138" s="2095"/>
      <c r="AW138" s="2095"/>
      <c r="AX138" s="2096"/>
      <c r="AY138" s="1208"/>
      <c r="AZ138" s="1208"/>
      <c r="BA138" s="1208"/>
      <c r="BB138" s="1208"/>
      <c r="BC138" s="1208"/>
      <c r="BD138" s="1208"/>
      <c r="BE138" s="1215"/>
    </row>
    <row r="139" spans="1:57" ht="15.75" customHeight="1">
      <c r="A139" s="1208"/>
      <c r="B139" s="2094"/>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95"/>
      <c r="AI139" s="2095"/>
      <c r="AJ139" s="2095"/>
      <c r="AK139" s="2095"/>
      <c r="AL139" s="2095"/>
      <c r="AM139" s="2095"/>
      <c r="AN139" s="2095"/>
      <c r="AO139" s="2095"/>
      <c r="AP139" s="2095"/>
      <c r="AQ139" s="2095"/>
      <c r="AR139" s="2095"/>
      <c r="AS139" s="2095"/>
      <c r="AT139" s="2095"/>
      <c r="AU139" s="2095"/>
      <c r="AV139" s="2095"/>
      <c r="AW139" s="2095"/>
      <c r="AX139" s="2096"/>
      <c r="AY139" s="1208"/>
      <c r="AZ139" s="1208"/>
      <c r="BA139" s="1208"/>
      <c r="BB139" s="1208"/>
      <c r="BC139" s="1208"/>
      <c r="BD139" s="1208"/>
      <c r="BE139" s="1215"/>
    </row>
    <row r="140" spans="1:57" ht="15.75" customHeight="1">
      <c r="A140" s="1208"/>
      <c r="B140" s="2094"/>
      <c r="C140" s="2095"/>
      <c r="D140" s="2095"/>
      <c r="E140" s="2095"/>
      <c r="F140" s="2095"/>
      <c r="G140" s="2095"/>
      <c r="H140" s="2095"/>
      <c r="I140" s="2095"/>
      <c r="J140" s="2095"/>
      <c r="K140" s="2095"/>
      <c r="L140" s="2095"/>
      <c r="M140" s="2095"/>
      <c r="N140" s="2095"/>
      <c r="O140" s="2095"/>
      <c r="P140" s="2095"/>
      <c r="Q140" s="2095"/>
      <c r="R140" s="2095"/>
      <c r="S140" s="2095"/>
      <c r="T140" s="2095"/>
      <c r="U140" s="2095"/>
      <c r="V140" s="2095"/>
      <c r="W140" s="2095"/>
      <c r="X140" s="2095"/>
      <c r="Y140" s="2095"/>
      <c r="Z140" s="2095"/>
      <c r="AA140" s="2095"/>
      <c r="AB140" s="2095"/>
      <c r="AC140" s="2095"/>
      <c r="AD140" s="2095"/>
      <c r="AE140" s="2095"/>
      <c r="AF140" s="2095"/>
      <c r="AG140" s="2095"/>
      <c r="AH140" s="2095"/>
      <c r="AI140" s="2095"/>
      <c r="AJ140" s="2095"/>
      <c r="AK140" s="2095"/>
      <c r="AL140" s="2095"/>
      <c r="AM140" s="2095"/>
      <c r="AN140" s="2095"/>
      <c r="AO140" s="2095"/>
      <c r="AP140" s="2095"/>
      <c r="AQ140" s="2095"/>
      <c r="AR140" s="2095"/>
      <c r="AS140" s="2095"/>
      <c r="AT140" s="2095"/>
      <c r="AU140" s="2095"/>
      <c r="AV140" s="2095"/>
      <c r="AW140" s="2095"/>
      <c r="AX140" s="2096"/>
      <c r="AY140" s="1208"/>
      <c r="AZ140" s="1208"/>
      <c r="BA140" s="1208"/>
      <c r="BB140" s="1208"/>
      <c r="BC140" s="1208"/>
      <c r="BD140" s="1208"/>
      <c r="BE140" s="1215"/>
    </row>
    <row r="141" spans="1:57" ht="15.75" customHeight="1">
      <c r="A141" s="1208"/>
      <c r="B141" s="2094"/>
      <c r="C141" s="2095"/>
      <c r="D141" s="2095"/>
      <c r="E141" s="2095"/>
      <c r="F141" s="2095"/>
      <c r="G141" s="2095"/>
      <c r="H141" s="2095"/>
      <c r="I141" s="2095"/>
      <c r="J141" s="2095"/>
      <c r="K141" s="2095"/>
      <c r="L141" s="2095"/>
      <c r="M141" s="2095"/>
      <c r="N141" s="2095"/>
      <c r="O141" s="2095"/>
      <c r="P141" s="2095"/>
      <c r="Q141" s="2095"/>
      <c r="R141" s="2095"/>
      <c r="S141" s="2095"/>
      <c r="T141" s="2095"/>
      <c r="U141" s="2095"/>
      <c r="V141" s="2095"/>
      <c r="W141" s="2095"/>
      <c r="X141" s="2095"/>
      <c r="Y141" s="2095"/>
      <c r="Z141" s="2095"/>
      <c r="AA141" s="2095"/>
      <c r="AB141" s="2095"/>
      <c r="AC141" s="2095"/>
      <c r="AD141" s="2095"/>
      <c r="AE141" s="2095"/>
      <c r="AF141" s="2095"/>
      <c r="AG141" s="2095"/>
      <c r="AH141" s="2095"/>
      <c r="AI141" s="2095"/>
      <c r="AJ141" s="2095"/>
      <c r="AK141" s="2095"/>
      <c r="AL141" s="2095"/>
      <c r="AM141" s="2095"/>
      <c r="AN141" s="2095"/>
      <c r="AO141" s="2095"/>
      <c r="AP141" s="2095"/>
      <c r="AQ141" s="2095"/>
      <c r="AR141" s="2095"/>
      <c r="AS141" s="2095"/>
      <c r="AT141" s="2095"/>
      <c r="AU141" s="2095"/>
      <c r="AV141" s="2095"/>
      <c r="AW141" s="2095"/>
      <c r="AX141" s="2096"/>
      <c r="AY141" s="1208"/>
      <c r="AZ141" s="1208"/>
      <c r="BA141" s="1208"/>
      <c r="BB141" s="1208"/>
      <c r="BC141" s="1208"/>
      <c r="BD141" s="1208"/>
      <c r="BE141" s="1215"/>
    </row>
    <row r="142" spans="1:57" ht="15.75" customHeight="1">
      <c r="A142" s="1208"/>
      <c r="B142" s="2094"/>
      <c r="C142" s="2095"/>
      <c r="D142" s="2095"/>
      <c r="E142" s="2095"/>
      <c r="F142" s="2095"/>
      <c r="G142" s="2095"/>
      <c r="H142" s="2095"/>
      <c r="I142" s="2095"/>
      <c r="J142" s="2095"/>
      <c r="K142" s="2095"/>
      <c r="L142" s="2095"/>
      <c r="M142" s="2095"/>
      <c r="N142" s="2095"/>
      <c r="O142" s="2095"/>
      <c r="P142" s="2095"/>
      <c r="Q142" s="2095"/>
      <c r="R142" s="2095"/>
      <c r="S142" s="2095"/>
      <c r="T142" s="2095"/>
      <c r="U142" s="2095"/>
      <c r="V142" s="2095"/>
      <c r="W142" s="2095"/>
      <c r="X142" s="2095"/>
      <c r="Y142" s="2095"/>
      <c r="Z142" s="2095"/>
      <c r="AA142" s="2095"/>
      <c r="AB142" s="2095"/>
      <c r="AC142" s="2095"/>
      <c r="AD142" s="2095"/>
      <c r="AE142" s="2095"/>
      <c r="AF142" s="2095"/>
      <c r="AG142" s="2095"/>
      <c r="AH142" s="2095"/>
      <c r="AI142" s="2095"/>
      <c r="AJ142" s="2095"/>
      <c r="AK142" s="2095"/>
      <c r="AL142" s="2095"/>
      <c r="AM142" s="2095"/>
      <c r="AN142" s="2095"/>
      <c r="AO142" s="2095"/>
      <c r="AP142" s="2095"/>
      <c r="AQ142" s="2095"/>
      <c r="AR142" s="2095"/>
      <c r="AS142" s="2095"/>
      <c r="AT142" s="2095"/>
      <c r="AU142" s="2095"/>
      <c r="AV142" s="2095"/>
      <c r="AW142" s="2095"/>
      <c r="AX142" s="2096"/>
      <c r="AY142" s="1208"/>
      <c r="AZ142" s="1208"/>
      <c r="BA142" s="1208"/>
      <c r="BB142" s="1208"/>
      <c r="BC142" s="1208"/>
      <c r="BD142" s="1208"/>
      <c r="BE142" s="1215"/>
    </row>
    <row r="143" spans="1:57" ht="15.75" customHeight="1">
      <c r="A143" s="1208"/>
      <c r="B143" s="2094"/>
      <c r="C143" s="2095"/>
      <c r="D143" s="2095"/>
      <c r="E143" s="2095"/>
      <c r="F143" s="2095"/>
      <c r="G143" s="2095"/>
      <c r="H143" s="2095"/>
      <c r="I143" s="2095"/>
      <c r="J143" s="2095"/>
      <c r="K143" s="2095"/>
      <c r="L143" s="2095"/>
      <c r="M143" s="2095"/>
      <c r="N143" s="2095"/>
      <c r="O143" s="2095"/>
      <c r="P143" s="2095"/>
      <c r="Q143" s="2095"/>
      <c r="R143" s="2095"/>
      <c r="S143" s="2095"/>
      <c r="T143" s="2095"/>
      <c r="U143" s="2095"/>
      <c r="V143" s="2095"/>
      <c r="W143" s="2095"/>
      <c r="X143" s="2095"/>
      <c r="Y143" s="2095"/>
      <c r="Z143" s="2095"/>
      <c r="AA143" s="2095"/>
      <c r="AB143" s="2095"/>
      <c r="AC143" s="2095"/>
      <c r="AD143" s="2095"/>
      <c r="AE143" s="2095"/>
      <c r="AF143" s="2095"/>
      <c r="AG143" s="2095"/>
      <c r="AH143" s="2095"/>
      <c r="AI143" s="2095"/>
      <c r="AJ143" s="2095"/>
      <c r="AK143" s="2095"/>
      <c r="AL143" s="2095"/>
      <c r="AM143" s="2095"/>
      <c r="AN143" s="2095"/>
      <c r="AO143" s="2095"/>
      <c r="AP143" s="2095"/>
      <c r="AQ143" s="2095"/>
      <c r="AR143" s="2095"/>
      <c r="AS143" s="2095"/>
      <c r="AT143" s="2095"/>
      <c r="AU143" s="2095"/>
      <c r="AV143" s="2095"/>
      <c r="AW143" s="2095"/>
      <c r="AX143" s="2096"/>
      <c r="AY143" s="1208"/>
      <c r="AZ143" s="1208"/>
      <c r="BA143" s="1208"/>
      <c r="BB143" s="1208"/>
      <c r="BC143" s="1208"/>
      <c r="BD143" s="1208"/>
      <c r="BE143" s="1215"/>
    </row>
    <row r="144" spans="1:57" ht="15.75" customHeight="1">
      <c r="A144" s="1208"/>
      <c r="B144" s="2094"/>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2095"/>
      <c r="AE144" s="2095"/>
      <c r="AF144" s="2095"/>
      <c r="AG144" s="2095"/>
      <c r="AH144" s="2095"/>
      <c r="AI144" s="2095"/>
      <c r="AJ144" s="2095"/>
      <c r="AK144" s="2095"/>
      <c r="AL144" s="2095"/>
      <c r="AM144" s="2095"/>
      <c r="AN144" s="2095"/>
      <c r="AO144" s="2095"/>
      <c r="AP144" s="2095"/>
      <c r="AQ144" s="2095"/>
      <c r="AR144" s="2095"/>
      <c r="AS144" s="2095"/>
      <c r="AT144" s="2095"/>
      <c r="AU144" s="2095"/>
      <c r="AV144" s="2095"/>
      <c r="AW144" s="2095"/>
      <c r="AX144" s="2096"/>
      <c r="AY144" s="1208"/>
      <c r="AZ144" s="1208"/>
      <c r="BA144" s="1208"/>
      <c r="BB144" s="1208"/>
      <c r="BC144" s="1208"/>
      <c r="BD144" s="1208"/>
      <c r="BE144" s="1215"/>
    </row>
    <row r="145" spans="1:57" ht="15.75" customHeight="1">
      <c r="A145" s="1208"/>
      <c r="B145" s="2094"/>
      <c r="C145" s="2095"/>
      <c r="D145" s="2095"/>
      <c r="E145" s="2095"/>
      <c r="F145" s="2095"/>
      <c r="G145" s="2095"/>
      <c r="H145" s="2095"/>
      <c r="I145" s="2095"/>
      <c r="J145" s="2095"/>
      <c r="K145" s="2095"/>
      <c r="L145" s="2095"/>
      <c r="M145" s="2095"/>
      <c r="N145" s="2095"/>
      <c r="O145" s="2095"/>
      <c r="P145" s="2095"/>
      <c r="Q145" s="2095"/>
      <c r="R145" s="2095"/>
      <c r="S145" s="2095"/>
      <c r="T145" s="2095"/>
      <c r="U145" s="2095"/>
      <c r="V145" s="2095"/>
      <c r="W145" s="2095"/>
      <c r="X145" s="2095"/>
      <c r="Y145" s="2095"/>
      <c r="Z145" s="2095"/>
      <c r="AA145" s="2095"/>
      <c r="AB145" s="2095"/>
      <c r="AC145" s="2095"/>
      <c r="AD145" s="2095"/>
      <c r="AE145" s="2095"/>
      <c r="AF145" s="2095"/>
      <c r="AG145" s="2095"/>
      <c r="AH145" s="2095"/>
      <c r="AI145" s="2095"/>
      <c r="AJ145" s="2095"/>
      <c r="AK145" s="2095"/>
      <c r="AL145" s="2095"/>
      <c r="AM145" s="2095"/>
      <c r="AN145" s="2095"/>
      <c r="AO145" s="2095"/>
      <c r="AP145" s="2095"/>
      <c r="AQ145" s="2095"/>
      <c r="AR145" s="2095"/>
      <c r="AS145" s="2095"/>
      <c r="AT145" s="2095"/>
      <c r="AU145" s="2095"/>
      <c r="AV145" s="2095"/>
      <c r="AW145" s="2095"/>
      <c r="AX145" s="2096"/>
      <c r="AY145" s="1208"/>
      <c r="AZ145" s="1208"/>
      <c r="BA145" s="1208"/>
      <c r="BB145" s="1208"/>
      <c r="BC145" s="1208"/>
      <c r="BD145" s="1208"/>
      <c r="BE145" s="1215"/>
    </row>
    <row r="146" spans="1:57" ht="15.75" customHeight="1">
      <c r="A146" s="1208"/>
      <c r="B146" s="2094"/>
      <c r="C146" s="2095"/>
      <c r="D146" s="2095"/>
      <c r="E146" s="2095"/>
      <c r="F146" s="2095"/>
      <c r="G146" s="2095"/>
      <c r="H146" s="2095"/>
      <c r="I146" s="2095"/>
      <c r="J146" s="2095"/>
      <c r="K146" s="2095"/>
      <c r="L146" s="2095"/>
      <c r="M146" s="2095"/>
      <c r="N146" s="2095"/>
      <c r="O146" s="2095"/>
      <c r="P146" s="2095"/>
      <c r="Q146" s="2095"/>
      <c r="R146" s="2095"/>
      <c r="S146" s="2095"/>
      <c r="T146" s="2095"/>
      <c r="U146" s="2095"/>
      <c r="V146" s="2095"/>
      <c r="W146" s="2095"/>
      <c r="X146" s="2095"/>
      <c r="Y146" s="2095"/>
      <c r="Z146" s="2095"/>
      <c r="AA146" s="2095"/>
      <c r="AB146" s="2095"/>
      <c r="AC146" s="2095"/>
      <c r="AD146" s="2095"/>
      <c r="AE146" s="2095"/>
      <c r="AF146" s="2095"/>
      <c r="AG146" s="2095"/>
      <c r="AH146" s="2095"/>
      <c r="AI146" s="2095"/>
      <c r="AJ146" s="2095"/>
      <c r="AK146" s="2095"/>
      <c r="AL146" s="2095"/>
      <c r="AM146" s="2095"/>
      <c r="AN146" s="2095"/>
      <c r="AO146" s="2095"/>
      <c r="AP146" s="2095"/>
      <c r="AQ146" s="2095"/>
      <c r="AR146" s="2095"/>
      <c r="AS146" s="2095"/>
      <c r="AT146" s="2095"/>
      <c r="AU146" s="2095"/>
      <c r="AV146" s="2095"/>
      <c r="AW146" s="2095"/>
      <c r="AX146" s="2096"/>
      <c r="AY146" s="1208"/>
      <c r="AZ146" s="1208"/>
      <c r="BA146" s="1208"/>
      <c r="BB146" s="1208"/>
      <c r="BC146" s="1208"/>
      <c r="BD146" s="1208"/>
      <c r="BE146" s="1215"/>
    </row>
    <row r="147" spans="1:57" ht="15.75" customHeight="1" thickBot="1">
      <c r="A147" s="1208"/>
      <c r="B147" s="2097"/>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J147" s="2098"/>
      <c r="AK147" s="2098"/>
      <c r="AL147" s="2098"/>
      <c r="AM147" s="2098"/>
      <c r="AN147" s="2098"/>
      <c r="AO147" s="2098"/>
      <c r="AP147" s="2098"/>
      <c r="AQ147" s="2098"/>
      <c r="AR147" s="2098"/>
      <c r="AS147" s="2098"/>
      <c r="AT147" s="2098"/>
      <c r="AU147" s="2098"/>
      <c r="AV147" s="2098"/>
      <c r="AW147" s="2098"/>
      <c r="AX147" s="209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7" t="s">
        <v>2288</v>
      </c>
      <c r="C151" s="2033"/>
      <c r="D151" s="2033"/>
      <c r="E151" s="2033"/>
      <c r="F151" s="2033"/>
      <c r="G151" s="2033"/>
      <c r="H151" s="2033"/>
      <c r="I151" s="2033"/>
      <c r="J151" s="2033"/>
      <c r="K151" s="2033"/>
      <c r="L151" s="2033"/>
      <c r="M151" s="2033"/>
      <c r="N151" s="2033"/>
      <c r="O151" s="2033"/>
      <c r="P151" s="2033"/>
      <c r="Q151" s="2033"/>
      <c r="R151" s="2033"/>
      <c r="S151" s="2033"/>
      <c r="T151" s="2033"/>
      <c r="U151" s="2034"/>
      <c r="V151" s="1208"/>
      <c r="W151" s="1209"/>
      <c r="X151" s="2077" t="s">
        <v>2287</v>
      </c>
      <c r="Y151" s="2033"/>
      <c r="Z151" s="2033"/>
      <c r="AA151" s="2033"/>
      <c r="AB151" s="2033"/>
      <c r="AC151" s="2033"/>
      <c r="AD151" s="2033"/>
      <c r="AE151" s="2033"/>
      <c r="AF151" s="2033"/>
      <c r="AG151" s="2033"/>
      <c r="AH151" s="2033"/>
      <c r="AI151" s="2033"/>
      <c r="AJ151" s="2033"/>
      <c r="AK151" s="2033"/>
      <c r="AL151" s="2033"/>
      <c r="AM151" s="2033"/>
      <c r="AN151" s="2033"/>
      <c r="AO151" s="2033"/>
      <c r="AP151" s="2033"/>
      <c r="AQ151" s="2034"/>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5"/>
      <c r="C152" s="2046"/>
      <c r="D152" s="2046"/>
      <c r="E152" s="2046"/>
      <c r="F152" s="2046"/>
      <c r="G152" s="2046"/>
      <c r="H152" s="2046"/>
      <c r="I152" s="2083" t="s">
        <v>2285</v>
      </c>
      <c r="J152" s="2083"/>
      <c r="K152" s="2083"/>
      <c r="L152" s="2083"/>
      <c r="M152" s="2083"/>
      <c r="N152" s="2083"/>
      <c r="O152" s="2083"/>
      <c r="P152" s="2083" t="s">
        <v>2286</v>
      </c>
      <c r="Q152" s="2083"/>
      <c r="R152" s="2083"/>
      <c r="S152" s="2083"/>
      <c r="T152" s="2083"/>
      <c r="U152" s="2084"/>
      <c r="V152" s="1208"/>
      <c r="W152" s="1208"/>
      <c r="X152" s="2045"/>
      <c r="Y152" s="2046"/>
      <c r="Z152" s="2046"/>
      <c r="AA152" s="2046"/>
      <c r="AB152" s="2046"/>
      <c r="AC152" s="2046"/>
      <c r="AD152" s="2046"/>
      <c r="AE152" s="2083" t="s">
        <v>2285</v>
      </c>
      <c r="AF152" s="2083"/>
      <c r="AG152" s="2083"/>
      <c r="AH152" s="2083"/>
      <c r="AI152" s="2083"/>
      <c r="AJ152" s="2083"/>
      <c r="AK152" s="2083"/>
      <c r="AL152" s="2083" t="s">
        <v>2284</v>
      </c>
      <c r="AM152" s="2083"/>
      <c r="AN152" s="2083"/>
      <c r="AO152" s="2083"/>
      <c r="AP152" s="2083"/>
      <c r="AQ152" s="2084"/>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5"/>
      <c r="C153" s="2046"/>
      <c r="D153" s="2046"/>
      <c r="E153" s="2046"/>
      <c r="F153" s="2046"/>
      <c r="G153" s="2046"/>
      <c r="H153" s="2046"/>
      <c r="I153" s="2083"/>
      <c r="J153" s="2083"/>
      <c r="K153" s="2083"/>
      <c r="L153" s="2083"/>
      <c r="M153" s="2083"/>
      <c r="N153" s="2083"/>
      <c r="O153" s="2083"/>
      <c r="P153" s="2083"/>
      <c r="Q153" s="2083"/>
      <c r="R153" s="2083"/>
      <c r="S153" s="2083"/>
      <c r="T153" s="2083"/>
      <c r="U153" s="2084"/>
      <c r="V153" s="1208"/>
      <c r="W153" s="1208"/>
      <c r="X153" s="2045"/>
      <c r="Y153" s="2046"/>
      <c r="Z153" s="2046"/>
      <c r="AA153" s="2046"/>
      <c r="AB153" s="2046"/>
      <c r="AC153" s="2046"/>
      <c r="AD153" s="2046"/>
      <c r="AE153" s="2083"/>
      <c r="AF153" s="2083"/>
      <c r="AG153" s="2083"/>
      <c r="AH153" s="2083"/>
      <c r="AI153" s="2083"/>
      <c r="AJ153" s="2083"/>
      <c r="AK153" s="2083"/>
      <c r="AL153" s="2083"/>
      <c r="AM153" s="2083"/>
      <c r="AN153" s="2083"/>
      <c r="AO153" s="2083"/>
      <c r="AP153" s="2083"/>
      <c r="AQ153" s="2084"/>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9" t="s">
        <v>2283</v>
      </c>
      <c r="C154" s="2080"/>
      <c r="D154" s="2080"/>
      <c r="E154" s="2080"/>
      <c r="F154" s="2080"/>
      <c r="G154" s="2080"/>
      <c r="H154" s="2080"/>
      <c r="I154" s="2081">
        <v>0</v>
      </c>
      <c r="J154" s="2081"/>
      <c r="K154" s="2081"/>
      <c r="L154" s="2081"/>
      <c r="M154" s="2081"/>
      <c r="N154" s="2081"/>
      <c r="O154" s="2081"/>
      <c r="P154" s="2081">
        <v>0</v>
      </c>
      <c r="Q154" s="2081"/>
      <c r="R154" s="2081"/>
      <c r="S154" s="2081"/>
      <c r="T154" s="2081"/>
      <c r="U154" s="2082"/>
      <c r="V154" s="1208"/>
      <c r="W154" s="1208"/>
      <c r="X154" s="2073" t="s">
        <v>2283</v>
      </c>
      <c r="Y154" s="2074"/>
      <c r="Z154" s="2074"/>
      <c r="AA154" s="2074"/>
      <c r="AB154" s="2074"/>
      <c r="AC154" s="2074"/>
      <c r="AD154" s="2074"/>
      <c r="AE154" s="2075">
        <v>0</v>
      </c>
      <c r="AF154" s="2075"/>
      <c r="AG154" s="2075"/>
      <c r="AH154" s="2075"/>
      <c r="AI154" s="2075"/>
      <c r="AJ154" s="2075"/>
      <c r="AK154" s="2075"/>
      <c r="AL154" s="2075">
        <v>0</v>
      </c>
      <c r="AM154" s="2075"/>
      <c r="AN154" s="2075"/>
      <c r="AO154" s="2075"/>
      <c r="AP154" s="2075"/>
      <c r="AQ154" s="207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3" t="s">
        <v>2282</v>
      </c>
      <c r="C155" s="2074"/>
      <c r="D155" s="2074"/>
      <c r="E155" s="2074"/>
      <c r="F155" s="2074"/>
      <c r="G155" s="2074"/>
      <c r="H155" s="2074"/>
      <c r="I155" s="2075">
        <v>0</v>
      </c>
      <c r="J155" s="2075"/>
      <c r="K155" s="2075"/>
      <c r="L155" s="2075"/>
      <c r="M155" s="2075"/>
      <c r="N155" s="2075"/>
      <c r="O155" s="2075"/>
      <c r="P155" s="2075">
        <v>0</v>
      </c>
      <c r="Q155" s="2075"/>
      <c r="R155" s="2075"/>
      <c r="S155" s="2075"/>
      <c r="T155" s="2075"/>
      <c r="U155" s="207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7" t="s">
        <v>2281</v>
      </c>
      <c r="D157" s="2033"/>
      <c r="E157" s="2033"/>
      <c r="F157" s="2033"/>
      <c r="G157" s="2033"/>
      <c r="H157" s="2033"/>
      <c r="I157" s="2033"/>
      <c r="J157" s="2033"/>
      <c r="K157" s="2033"/>
      <c r="L157" s="2033"/>
      <c r="M157" s="2033"/>
      <c r="N157" s="2033"/>
      <c r="O157" s="2033"/>
      <c r="P157" s="2033"/>
      <c r="Q157" s="2033"/>
      <c r="R157" s="2033"/>
      <c r="S157" s="2033"/>
      <c r="T157" s="2033"/>
      <c r="U157" s="2033"/>
      <c r="V157" s="2033"/>
      <c r="W157" s="2033"/>
      <c r="X157" s="2033"/>
      <c r="Y157" s="2033"/>
      <c r="Z157" s="2033"/>
      <c r="AA157" s="2033"/>
      <c r="AB157" s="2033"/>
      <c r="AC157" s="2033"/>
      <c r="AD157" s="2033"/>
      <c r="AE157" s="2033"/>
      <c r="AF157" s="2033"/>
      <c r="AG157" s="2034"/>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5" t="s">
        <v>2266</v>
      </c>
      <c r="D158" s="2046"/>
      <c r="E158" s="2046"/>
      <c r="F158" s="2046"/>
      <c r="G158" s="2046"/>
      <c r="H158" s="2046"/>
      <c r="I158" s="2046"/>
      <c r="J158" s="2046"/>
      <c r="K158" s="2046"/>
      <c r="L158" s="2046"/>
      <c r="M158" s="2046"/>
      <c r="N158" s="2046"/>
      <c r="O158" s="2046"/>
      <c r="P158" s="2046"/>
      <c r="Q158" s="2046" t="s">
        <v>2280</v>
      </c>
      <c r="R158" s="2046"/>
      <c r="S158" s="2046"/>
      <c r="T158" s="2078" t="s">
        <v>2279</v>
      </c>
      <c r="U158" s="2078"/>
      <c r="V158" s="2078"/>
      <c r="W158" s="2078"/>
      <c r="X158" s="2078"/>
      <c r="Y158" s="2078"/>
      <c r="Z158" s="2078"/>
      <c r="AA158" s="2078"/>
      <c r="AB158" s="2046" t="s">
        <v>2278</v>
      </c>
      <c r="AC158" s="2046"/>
      <c r="AD158" s="2046"/>
      <c r="AE158" s="2046"/>
      <c r="AF158" s="2046"/>
      <c r="AG158" s="204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0" t="s">
        <v>2277</v>
      </c>
      <c r="D159" s="2061"/>
      <c r="E159" s="2061"/>
      <c r="F159" s="2061"/>
      <c r="G159" s="2061"/>
      <c r="H159" s="2061"/>
      <c r="I159" s="2061"/>
      <c r="J159" s="2061"/>
      <c r="K159" s="2061"/>
      <c r="L159" s="2061"/>
      <c r="M159" s="2061"/>
      <c r="N159" s="2061"/>
      <c r="O159" s="2061"/>
      <c r="P159" s="2061"/>
      <c r="Q159" s="2003">
        <v>55</v>
      </c>
      <c r="R159" s="2003"/>
      <c r="S159" s="2003"/>
      <c r="T159" s="2054"/>
      <c r="U159" s="2054"/>
      <c r="V159" s="2054"/>
      <c r="W159" s="2054"/>
      <c r="X159" s="2054"/>
      <c r="Y159" s="2054"/>
      <c r="Z159" s="2054"/>
      <c r="AA159" s="2054"/>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0" t="s">
        <v>2276</v>
      </c>
      <c r="D160" s="2061"/>
      <c r="E160" s="2061"/>
      <c r="F160" s="2061"/>
      <c r="G160" s="2061"/>
      <c r="H160" s="2061"/>
      <c r="I160" s="2061"/>
      <c r="J160" s="2061"/>
      <c r="K160" s="2061"/>
      <c r="L160" s="2061"/>
      <c r="M160" s="2061"/>
      <c r="N160" s="2061"/>
      <c r="O160" s="2061"/>
      <c r="P160" s="2061"/>
      <c r="Q160" s="2003">
        <v>55</v>
      </c>
      <c r="R160" s="2003"/>
      <c r="S160" s="2003"/>
      <c r="T160" s="2063"/>
      <c r="U160" s="2063"/>
      <c r="V160" s="2063"/>
      <c r="W160" s="2063"/>
      <c r="X160" s="2063"/>
      <c r="Y160" s="2063"/>
      <c r="Z160" s="2063"/>
      <c r="AA160" s="206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0" t="s">
        <v>2275</v>
      </c>
      <c r="D161" s="2061"/>
      <c r="E161" s="2061"/>
      <c r="F161" s="2061"/>
      <c r="G161" s="2061"/>
      <c r="H161" s="2061"/>
      <c r="I161" s="2061"/>
      <c r="J161" s="2061"/>
      <c r="K161" s="2061"/>
      <c r="L161" s="2061"/>
      <c r="M161" s="2061"/>
      <c r="N161" s="2061"/>
      <c r="O161" s="2061"/>
      <c r="P161" s="2061"/>
      <c r="Q161" s="2003">
        <v>55</v>
      </c>
      <c r="R161" s="2003"/>
      <c r="S161" s="2003"/>
      <c r="T161" s="2054"/>
      <c r="U161" s="2054"/>
      <c r="V161" s="2054"/>
      <c r="W161" s="2054"/>
      <c r="X161" s="2054"/>
      <c r="Y161" s="2054"/>
      <c r="Z161" s="2054"/>
      <c r="AA161" s="205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0" t="s">
        <v>2274</v>
      </c>
      <c r="D162" s="2061"/>
      <c r="E162" s="2061"/>
      <c r="F162" s="2061"/>
      <c r="G162" s="2061"/>
      <c r="H162" s="2061"/>
      <c r="I162" s="2061"/>
      <c r="J162" s="2061"/>
      <c r="K162" s="2061"/>
      <c r="L162" s="2061"/>
      <c r="M162" s="2061"/>
      <c r="N162" s="2061"/>
      <c r="O162" s="2061"/>
      <c r="P162" s="2061"/>
      <c r="Q162" s="2003">
        <v>55</v>
      </c>
      <c r="R162" s="2003"/>
      <c r="S162" s="2003"/>
      <c r="T162" s="2054"/>
      <c r="U162" s="2054"/>
      <c r="V162" s="2054"/>
      <c r="W162" s="2054"/>
      <c r="X162" s="2054"/>
      <c r="Y162" s="2054"/>
      <c r="Z162" s="2054"/>
      <c r="AA162" s="2054"/>
      <c r="AB162" s="2064">
        <v>0</v>
      </c>
      <c r="AC162" s="2064"/>
      <c r="AD162" s="2064"/>
      <c r="AE162" s="2064"/>
      <c r="AF162" s="2064"/>
      <c r="AG162" s="20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0" t="s">
        <v>169</v>
      </c>
      <c r="D163" s="2061"/>
      <c r="E163" s="2061"/>
      <c r="F163" s="2062" t="s">
        <v>2255</v>
      </c>
      <c r="G163" s="2062"/>
      <c r="H163" s="2062"/>
      <c r="I163" s="2062"/>
      <c r="J163" s="2062"/>
      <c r="K163" s="2062"/>
      <c r="L163" s="2062"/>
      <c r="M163" s="2062"/>
      <c r="N163" s="2062"/>
      <c r="O163" s="2062"/>
      <c r="P163" s="2062"/>
      <c r="Q163" s="2003">
        <v>55</v>
      </c>
      <c r="R163" s="2003"/>
      <c r="S163" s="2003"/>
      <c r="T163" s="2063"/>
      <c r="U163" s="2063"/>
      <c r="V163" s="2063"/>
      <c r="W163" s="2063"/>
      <c r="X163" s="2063"/>
      <c r="Y163" s="2063"/>
      <c r="Z163" s="2063"/>
      <c r="AA163" s="2063"/>
      <c r="AB163" s="2064">
        <v>0</v>
      </c>
      <c r="AC163" s="2064"/>
      <c r="AD163" s="2064"/>
      <c r="AE163" s="2064"/>
      <c r="AF163" s="2064"/>
      <c r="AG163" s="20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0" t="s">
        <v>169</v>
      </c>
      <c r="D164" s="2061"/>
      <c r="E164" s="2061"/>
      <c r="F164" s="2062" t="s">
        <v>2255</v>
      </c>
      <c r="G164" s="2062"/>
      <c r="H164" s="2062"/>
      <c r="I164" s="2062"/>
      <c r="J164" s="2062"/>
      <c r="K164" s="2062"/>
      <c r="L164" s="2062"/>
      <c r="M164" s="2062"/>
      <c r="N164" s="2062"/>
      <c r="O164" s="2062"/>
      <c r="P164" s="2062"/>
      <c r="Q164" s="2003">
        <v>55</v>
      </c>
      <c r="R164" s="2003"/>
      <c r="S164" s="2003"/>
      <c r="T164" s="2063"/>
      <c r="U164" s="2063"/>
      <c r="V164" s="2063"/>
      <c r="W164" s="2063"/>
      <c r="X164" s="2063"/>
      <c r="Y164" s="2063"/>
      <c r="Z164" s="2063"/>
      <c r="AA164" s="2063"/>
      <c r="AB164" s="2064">
        <v>0</v>
      </c>
      <c r="AC164" s="2064"/>
      <c r="AD164" s="2064"/>
      <c r="AE164" s="2064"/>
      <c r="AF164" s="2064"/>
      <c r="AG164" s="2065"/>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6" t="s">
        <v>169</v>
      </c>
      <c r="D165" s="2067"/>
      <c r="E165" s="2067"/>
      <c r="F165" s="2068" t="s">
        <v>2255</v>
      </c>
      <c r="G165" s="2068"/>
      <c r="H165" s="2068"/>
      <c r="I165" s="2068"/>
      <c r="J165" s="2068"/>
      <c r="K165" s="2068"/>
      <c r="L165" s="2068"/>
      <c r="M165" s="2068"/>
      <c r="N165" s="2068"/>
      <c r="O165" s="2068"/>
      <c r="P165" s="2068"/>
      <c r="Q165" s="2069">
        <v>55</v>
      </c>
      <c r="R165" s="2069"/>
      <c r="S165" s="2069"/>
      <c r="T165" s="2070"/>
      <c r="U165" s="2070"/>
      <c r="V165" s="2070"/>
      <c r="W165" s="2070"/>
      <c r="X165" s="2070"/>
      <c r="Y165" s="2070"/>
      <c r="Z165" s="2070"/>
      <c r="AA165" s="2070"/>
      <c r="AB165" s="2071">
        <v>0</v>
      </c>
      <c r="AC165" s="2071"/>
      <c r="AD165" s="2071"/>
      <c r="AE165" s="2071"/>
      <c r="AF165" s="2071"/>
      <c r="AG165" s="2072"/>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1" t="s">
        <v>2273</v>
      </c>
      <c r="D167" s="2032"/>
      <c r="E167" s="2032"/>
      <c r="F167" s="2032"/>
      <c r="G167" s="2032"/>
      <c r="H167" s="2032"/>
      <c r="I167" s="2032"/>
      <c r="J167" s="2032"/>
      <c r="K167" s="2032"/>
      <c r="L167" s="2032"/>
      <c r="M167" s="2032"/>
      <c r="N167" s="2041"/>
      <c r="O167" s="1208"/>
      <c r="P167" s="2042" t="s">
        <v>2272</v>
      </c>
      <c r="Q167" s="2043"/>
      <c r="R167" s="2043"/>
      <c r="S167" s="2043"/>
      <c r="T167" s="2043"/>
      <c r="U167" s="2043"/>
      <c r="V167" s="2043"/>
      <c r="W167" s="2043"/>
      <c r="X167" s="2043"/>
      <c r="Y167" s="2043"/>
      <c r="Z167" s="2043"/>
      <c r="AA167" s="2043"/>
      <c r="AB167" s="2043"/>
      <c r="AC167" s="2043"/>
      <c r="AD167" s="2043"/>
      <c r="AE167" s="2043"/>
      <c r="AF167" s="2043"/>
      <c r="AG167" s="2043"/>
      <c r="AH167" s="2043"/>
      <c r="AI167" s="2043"/>
      <c r="AJ167" s="2043"/>
      <c r="AK167" s="2043"/>
      <c r="AL167" s="2043"/>
      <c r="AM167" s="2043"/>
      <c r="AN167" s="2043"/>
      <c r="AO167" s="204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5" t="s">
        <v>2271</v>
      </c>
      <c r="D168" s="2046"/>
      <c r="E168" s="2046"/>
      <c r="F168" s="2046"/>
      <c r="G168" s="2046"/>
      <c r="H168" s="2046"/>
      <c r="I168" s="2046" t="s">
        <v>2270</v>
      </c>
      <c r="J168" s="2046"/>
      <c r="K168" s="2046"/>
      <c r="L168" s="2046"/>
      <c r="M168" s="2046"/>
      <c r="N168" s="2047"/>
      <c r="O168" s="1208"/>
      <c r="P168" s="2048" t="s">
        <v>2269</v>
      </c>
      <c r="Q168" s="2049"/>
      <c r="R168" s="2049"/>
      <c r="S168" s="2049"/>
      <c r="T168" s="2049"/>
      <c r="U168" s="2049"/>
      <c r="V168" s="2049"/>
      <c r="W168" s="2049"/>
      <c r="X168" s="2049"/>
      <c r="Y168" s="2049"/>
      <c r="Z168" s="2049"/>
      <c r="AA168" s="2049"/>
      <c r="AB168" s="2049"/>
      <c r="AC168" s="2049"/>
      <c r="AD168" s="2049"/>
      <c r="AE168" s="2049"/>
      <c r="AF168" s="2049"/>
      <c r="AG168" s="2049"/>
      <c r="AH168" s="2049"/>
      <c r="AI168" s="2049"/>
      <c r="AJ168" s="2049"/>
      <c r="AK168" s="2049"/>
      <c r="AL168" s="2049"/>
      <c r="AM168" s="2049"/>
      <c r="AN168" s="2049"/>
      <c r="AO168" s="205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3"/>
      <c r="D169" s="1994"/>
      <c r="E169" s="1994"/>
      <c r="F169" s="1994"/>
      <c r="G169" s="1994"/>
      <c r="H169" s="1994"/>
      <c r="I169" s="2054"/>
      <c r="J169" s="2054"/>
      <c r="K169" s="2054"/>
      <c r="L169" s="2054"/>
      <c r="M169" s="2054"/>
      <c r="N169" s="2055"/>
      <c r="O169" s="1208"/>
      <c r="P169" s="2048"/>
      <c r="Q169" s="2049"/>
      <c r="R169" s="2049"/>
      <c r="S169" s="2049"/>
      <c r="T169" s="2049"/>
      <c r="U169" s="2049"/>
      <c r="V169" s="2049"/>
      <c r="W169" s="2049"/>
      <c r="X169" s="2049"/>
      <c r="Y169" s="2049"/>
      <c r="Z169" s="2049"/>
      <c r="AA169" s="2049"/>
      <c r="AB169" s="2049"/>
      <c r="AC169" s="2049"/>
      <c r="AD169" s="2049"/>
      <c r="AE169" s="2049"/>
      <c r="AF169" s="2049"/>
      <c r="AG169" s="2049"/>
      <c r="AH169" s="2049"/>
      <c r="AI169" s="2049"/>
      <c r="AJ169" s="2049"/>
      <c r="AK169" s="2049"/>
      <c r="AL169" s="2049"/>
      <c r="AM169" s="2049"/>
      <c r="AN169" s="2049"/>
      <c r="AO169" s="205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3"/>
      <c r="D170" s="1994"/>
      <c r="E170" s="1994"/>
      <c r="F170" s="1994"/>
      <c r="G170" s="1994"/>
      <c r="H170" s="1994"/>
      <c r="I170" s="2054"/>
      <c r="J170" s="2054"/>
      <c r="K170" s="2054"/>
      <c r="L170" s="2054"/>
      <c r="M170" s="2054"/>
      <c r="N170" s="2055"/>
      <c r="O170" s="1208"/>
      <c r="P170" s="2048"/>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2049"/>
      <c r="AN170" s="2049"/>
      <c r="AO170" s="205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3"/>
      <c r="D171" s="1994"/>
      <c r="E171" s="1994"/>
      <c r="F171" s="1994"/>
      <c r="G171" s="1994"/>
      <c r="H171" s="1994"/>
      <c r="I171" s="2054"/>
      <c r="J171" s="2054"/>
      <c r="K171" s="2054"/>
      <c r="L171" s="2054"/>
      <c r="M171" s="2054"/>
      <c r="N171" s="2055"/>
      <c r="O171" s="1208"/>
      <c r="P171" s="2048"/>
      <c r="Q171" s="2049"/>
      <c r="R171" s="2049"/>
      <c r="S171" s="2049"/>
      <c r="T171" s="2049"/>
      <c r="U171" s="2049"/>
      <c r="V171" s="2049"/>
      <c r="W171" s="2049"/>
      <c r="X171" s="2049"/>
      <c r="Y171" s="2049"/>
      <c r="Z171" s="2049"/>
      <c r="AA171" s="2049"/>
      <c r="AB171" s="2049"/>
      <c r="AC171" s="2049"/>
      <c r="AD171" s="2049"/>
      <c r="AE171" s="2049"/>
      <c r="AF171" s="2049"/>
      <c r="AG171" s="2049"/>
      <c r="AH171" s="2049"/>
      <c r="AI171" s="2049"/>
      <c r="AJ171" s="2049"/>
      <c r="AK171" s="2049"/>
      <c r="AL171" s="2049"/>
      <c r="AM171" s="2049"/>
      <c r="AN171" s="2049"/>
      <c r="AO171" s="205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3"/>
      <c r="D172" s="1994"/>
      <c r="E172" s="1994"/>
      <c r="F172" s="1994"/>
      <c r="G172" s="1994"/>
      <c r="H172" s="1994"/>
      <c r="I172" s="2054"/>
      <c r="J172" s="2054"/>
      <c r="K172" s="2054"/>
      <c r="L172" s="2054"/>
      <c r="M172" s="2054"/>
      <c r="N172" s="2055"/>
      <c r="O172" s="1208"/>
      <c r="P172" s="2048"/>
      <c r="Q172" s="2049"/>
      <c r="R172" s="2049"/>
      <c r="S172" s="2049"/>
      <c r="T172" s="2049"/>
      <c r="U172" s="2049"/>
      <c r="V172" s="2049"/>
      <c r="W172" s="2049"/>
      <c r="X172" s="2049"/>
      <c r="Y172" s="2049"/>
      <c r="Z172" s="2049"/>
      <c r="AA172" s="2049"/>
      <c r="AB172" s="2049"/>
      <c r="AC172" s="2049"/>
      <c r="AD172" s="2049"/>
      <c r="AE172" s="2049"/>
      <c r="AF172" s="2049"/>
      <c r="AG172" s="2049"/>
      <c r="AH172" s="2049"/>
      <c r="AI172" s="2049"/>
      <c r="AJ172" s="2049"/>
      <c r="AK172" s="2049"/>
      <c r="AL172" s="2049"/>
      <c r="AM172" s="2049"/>
      <c r="AN172" s="2049"/>
      <c r="AO172" s="205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3"/>
      <c r="D173" s="1994"/>
      <c r="E173" s="1994"/>
      <c r="F173" s="1994"/>
      <c r="G173" s="1994"/>
      <c r="H173" s="1994"/>
      <c r="I173" s="2054"/>
      <c r="J173" s="2054"/>
      <c r="K173" s="2054"/>
      <c r="L173" s="2054"/>
      <c r="M173" s="2054"/>
      <c r="N173" s="2055"/>
      <c r="O173" s="1208"/>
      <c r="P173" s="2048"/>
      <c r="Q173" s="2049"/>
      <c r="R173" s="2049"/>
      <c r="S173" s="2049"/>
      <c r="T173" s="2049"/>
      <c r="U173" s="2049"/>
      <c r="V173" s="2049"/>
      <c r="W173" s="2049"/>
      <c r="X173" s="2049"/>
      <c r="Y173" s="2049"/>
      <c r="Z173" s="2049"/>
      <c r="AA173" s="2049"/>
      <c r="AB173" s="2049"/>
      <c r="AC173" s="2049"/>
      <c r="AD173" s="2049"/>
      <c r="AE173" s="2049"/>
      <c r="AF173" s="2049"/>
      <c r="AG173" s="2049"/>
      <c r="AH173" s="2049"/>
      <c r="AI173" s="2049"/>
      <c r="AJ173" s="2049"/>
      <c r="AK173" s="2049"/>
      <c r="AL173" s="2049"/>
      <c r="AM173" s="2049"/>
      <c r="AN173" s="2049"/>
      <c r="AO173" s="205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3"/>
      <c r="D174" s="1994"/>
      <c r="E174" s="1994"/>
      <c r="F174" s="1994"/>
      <c r="G174" s="1994"/>
      <c r="H174" s="1994"/>
      <c r="I174" s="2054"/>
      <c r="J174" s="2054"/>
      <c r="K174" s="2054"/>
      <c r="L174" s="2054"/>
      <c r="M174" s="2054"/>
      <c r="N174" s="2055"/>
      <c r="O174" s="1208"/>
      <c r="P174" s="2048"/>
      <c r="Q174" s="2049"/>
      <c r="R174" s="2049"/>
      <c r="S174" s="2049"/>
      <c r="T174" s="2049"/>
      <c r="U174" s="2049"/>
      <c r="V174" s="2049"/>
      <c r="W174" s="2049"/>
      <c r="X174" s="2049"/>
      <c r="Y174" s="2049"/>
      <c r="Z174" s="2049"/>
      <c r="AA174" s="2049"/>
      <c r="AB174" s="2049"/>
      <c r="AC174" s="2049"/>
      <c r="AD174" s="2049"/>
      <c r="AE174" s="2049"/>
      <c r="AF174" s="2049"/>
      <c r="AG174" s="2049"/>
      <c r="AH174" s="2049"/>
      <c r="AI174" s="2049"/>
      <c r="AJ174" s="2049"/>
      <c r="AK174" s="2049"/>
      <c r="AL174" s="2049"/>
      <c r="AM174" s="2049"/>
      <c r="AN174" s="2049"/>
      <c r="AO174" s="205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6"/>
      <c r="D175" s="2057"/>
      <c r="E175" s="2057"/>
      <c r="F175" s="2057"/>
      <c r="G175" s="2057"/>
      <c r="H175" s="2057"/>
      <c r="I175" s="2058"/>
      <c r="J175" s="2058"/>
      <c r="K175" s="2058"/>
      <c r="L175" s="2058"/>
      <c r="M175" s="2058"/>
      <c r="N175" s="2059"/>
      <c r="O175" s="1208"/>
      <c r="P175" s="2051"/>
      <c r="Q175" s="2052"/>
      <c r="R175" s="2052"/>
      <c r="S175" s="2052"/>
      <c r="T175" s="2052"/>
      <c r="U175" s="2052"/>
      <c r="V175" s="2052"/>
      <c r="W175" s="2052"/>
      <c r="X175" s="2052"/>
      <c r="Y175" s="2052"/>
      <c r="Z175" s="2052"/>
      <c r="AA175" s="2052"/>
      <c r="AB175" s="2052"/>
      <c r="AC175" s="2052"/>
      <c r="AD175" s="2052"/>
      <c r="AE175" s="2052"/>
      <c r="AF175" s="2052"/>
      <c r="AG175" s="2052"/>
      <c r="AH175" s="2052"/>
      <c r="AI175" s="2052"/>
      <c r="AJ175" s="2052"/>
      <c r="AK175" s="2052"/>
      <c r="AL175" s="2052"/>
      <c r="AM175" s="2052"/>
      <c r="AN175" s="2052"/>
      <c r="AO175" s="205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2" t="s">
        <v>2268</v>
      </c>
      <c r="D177" s="2023"/>
      <c r="E177" s="2023"/>
      <c r="F177" s="2023"/>
      <c r="G177" s="2023"/>
      <c r="H177" s="2023"/>
      <c r="I177" s="2023"/>
      <c r="J177" s="2023"/>
      <c r="K177" s="2023"/>
      <c r="L177" s="2023"/>
      <c r="M177" s="2023"/>
      <c r="N177" s="2023"/>
      <c r="O177" s="2023"/>
      <c r="P177" s="2023"/>
      <c r="Q177" s="2023"/>
      <c r="R177" s="2023"/>
      <c r="S177" s="2023"/>
      <c r="T177" s="2023"/>
      <c r="U177" s="2023"/>
      <c r="V177" s="2023"/>
      <c r="W177" s="2023"/>
      <c r="X177" s="2023"/>
      <c r="Y177" s="2023"/>
      <c r="Z177" s="2023"/>
      <c r="AA177" s="2023"/>
      <c r="AB177" s="2023"/>
      <c r="AC177" s="2023"/>
      <c r="AD177" s="2023"/>
      <c r="AE177" s="2024"/>
      <c r="AF177" s="1208"/>
      <c r="AG177" s="1208"/>
      <c r="AH177" s="1907"/>
      <c r="AI177" s="1907"/>
      <c r="AJ177" s="1907"/>
      <c r="AK177" s="1907"/>
      <c r="AL177" s="1907"/>
      <c r="AM177" s="1907"/>
      <c r="AN177" s="1907"/>
      <c r="AO177" s="1907"/>
      <c r="AP177" s="1907"/>
      <c r="AQ177" s="1907"/>
      <c r="AR177" s="1907"/>
      <c r="AS177" s="1907"/>
      <c r="AT177" s="1907"/>
      <c r="AU177" s="1907"/>
      <c r="AV177" s="1907"/>
      <c r="AW177" s="1907"/>
      <c r="AX177" s="1907"/>
      <c r="AY177" s="1907"/>
      <c r="AZ177" s="1907"/>
      <c r="BA177" s="1907"/>
      <c r="BB177" s="1907"/>
      <c r="BC177" s="1907"/>
      <c r="BD177" s="1907"/>
      <c r="BE177" s="1907"/>
    </row>
    <row r="178" spans="1:57" ht="15.75" customHeight="1" thickBot="1">
      <c r="A178" s="1208"/>
      <c r="B178" s="1208"/>
      <c r="C178" s="2025"/>
      <c r="D178" s="2026"/>
      <c r="E178" s="2026"/>
      <c r="F178" s="2026"/>
      <c r="G178" s="2026"/>
      <c r="H178" s="2026"/>
      <c r="I178" s="2026"/>
      <c r="J178" s="2026"/>
      <c r="K178" s="2026"/>
      <c r="L178" s="2026"/>
      <c r="M178" s="2026"/>
      <c r="N178" s="2026"/>
      <c r="O178" s="2026"/>
      <c r="P178" s="2026"/>
      <c r="Q178" s="2026"/>
      <c r="R178" s="2026"/>
      <c r="S178" s="2026"/>
      <c r="T178" s="2026"/>
      <c r="U178" s="2026"/>
      <c r="V178" s="2026"/>
      <c r="W178" s="2026"/>
      <c r="X178" s="2026"/>
      <c r="Y178" s="2026"/>
      <c r="Z178" s="2026"/>
      <c r="AA178" s="2026"/>
      <c r="AB178" s="2026"/>
      <c r="AC178" s="2026"/>
      <c r="AD178" s="2026"/>
      <c r="AE178" s="2027"/>
      <c r="AF178" s="1208"/>
      <c r="AG178" s="1208"/>
      <c r="AH178" s="1907"/>
      <c r="AI178" s="1907"/>
      <c r="AJ178" s="1907"/>
      <c r="AK178" s="1907"/>
      <c r="AL178" s="1907"/>
      <c r="AM178" s="1907"/>
      <c r="AN178" s="1907"/>
      <c r="AO178" s="1907"/>
      <c r="AP178" s="1907"/>
      <c r="AQ178" s="1907"/>
      <c r="AR178" s="1907"/>
      <c r="AS178" s="1907"/>
      <c r="AT178" s="1907"/>
      <c r="AU178" s="1907"/>
      <c r="AV178" s="1907"/>
      <c r="AW178" s="1907"/>
      <c r="AX178" s="1907"/>
      <c r="AY178" s="1907"/>
      <c r="AZ178" s="1907"/>
      <c r="BA178" s="1907"/>
      <c r="BB178" s="1907"/>
      <c r="BC178" s="1907"/>
      <c r="BD178" s="1907"/>
      <c r="BE178" s="1907"/>
    </row>
    <row r="179" spans="1:57" ht="15.75" customHeight="1">
      <c r="A179" s="1208"/>
      <c r="B179" s="1208"/>
      <c r="C179" s="2031" t="s">
        <v>2266</v>
      </c>
      <c r="D179" s="2032"/>
      <c r="E179" s="2032"/>
      <c r="F179" s="2032"/>
      <c r="G179" s="2032"/>
      <c r="H179" s="2032"/>
      <c r="I179" s="2032"/>
      <c r="J179" s="2032"/>
      <c r="K179" s="2032"/>
      <c r="L179" s="2032"/>
      <c r="M179" s="2032"/>
      <c r="N179" s="2032" t="s">
        <v>2267</v>
      </c>
      <c r="O179" s="2032"/>
      <c r="P179" s="2032"/>
      <c r="Q179" s="2032"/>
      <c r="R179" s="2032"/>
      <c r="S179" s="2032"/>
      <c r="T179" s="2032"/>
      <c r="U179" s="2033" t="s">
        <v>2266</v>
      </c>
      <c r="V179" s="2033"/>
      <c r="W179" s="2033"/>
      <c r="X179" s="2033"/>
      <c r="Y179" s="2033"/>
      <c r="Z179" s="2033"/>
      <c r="AA179" s="2033"/>
      <c r="AB179" s="2033"/>
      <c r="AC179" s="2033"/>
      <c r="AD179" s="2033"/>
      <c r="AE179" s="2034"/>
      <c r="AF179" s="1208"/>
      <c r="AG179" s="1208"/>
      <c r="AH179" s="1907"/>
      <c r="AI179" s="1907"/>
      <c r="AJ179" s="1907"/>
      <c r="AK179" s="1907"/>
      <c r="AL179" s="1907"/>
      <c r="AM179" s="1907"/>
      <c r="AN179" s="1907"/>
      <c r="AO179" s="1907"/>
      <c r="AP179" s="1907"/>
      <c r="AQ179" s="1907"/>
      <c r="AR179" s="1907"/>
      <c r="AS179" s="1907"/>
      <c r="AT179" s="1907"/>
      <c r="AU179" s="1907"/>
      <c r="AV179" s="1907"/>
      <c r="AW179" s="1907"/>
      <c r="AX179" s="1907"/>
      <c r="AY179" s="1907"/>
      <c r="AZ179" s="1907"/>
      <c r="BA179" s="1907"/>
      <c r="BB179" s="1907"/>
      <c r="BC179" s="1907"/>
      <c r="BD179" s="1907"/>
      <c r="BE179" s="1907"/>
    </row>
    <row r="180" spans="1:57" ht="15.75" customHeight="1">
      <c r="A180" s="1208"/>
      <c r="B180" s="1208"/>
      <c r="C180" s="2010" t="s">
        <v>2265</v>
      </c>
      <c r="D180" s="2011"/>
      <c r="E180" s="2011"/>
      <c r="F180" s="2011"/>
      <c r="G180" s="2011"/>
      <c r="H180" s="2011"/>
      <c r="I180" s="2011"/>
      <c r="J180" s="2011"/>
      <c r="K180" s="2011"/>
      <c r="L180" s="2011"/>
      <c r="M180" s="2011"/>
      <c r="N180" s="2021">
        <f>'Sources and Uses Budget'!B105</f>
        <v>117426075</v>
      </c>
      <c r="O180" s="2021"/>
      <c r="P180" s="2021"/>
      <c r="Q180" s="2021"/>
      <c r="R180" s="2021"/>
      <c r="S180" s="2021"/>
      <c r="T180" s="2021"/>
      <c r="U180" s="2035"/>
      <c r="V180" s="2035"/>
      <c r="W180" s="2035"/>
      <c r="X180" s="2035"/>
      <c r="Y180" s="2035"/>
      <c r="Z180" s="2035"/>
      <c r="AA180" s="2035"/>
      <c r="AB180" s="2035"/>
      <c r="AC180" s="2035"/>
      <c r="AD180" s="2035"/>
      <c r="AE180" s="2036"/>
      <c r="AF180" s="1208"/>
      <c r="AG180" s="1208"/>
      <c r="AH180" s="1907"/>
      <c r="AI180" s="1907"/>
      <c r="AJ180" s="1907"/>
      <c r="AK180" s="1907"/>
      <c r="AL180" s="1907"/>
      <c r="AM180" s="1907"/>
      <c r="AN180" s="1907"/>
      <c r="AO180" s="1907"/>
      <c r="AP180" s="1907"/>
      <c r="AQ180" s="1907"/>
      <c r="AR180" s="1907"/>
      <c r="AS180" s="1907"/>
      <c r="AT180" s="1907"/>
      <c r="AU180" s="1907"/>
      <c r="AV180" s="1907"/>
      <c r="AW180" s="1907"/>
      <c r="AX180" s="1907"/>
      <c r="AY180" s="1907"/>
      <c r="AZ180" s="1907"/>
      <c r="BA180" s="1907"/>
      <c r="BB180" s="1907"/>
      <c r="BC180" s="1907"/>
      <c r="BD180" s="1907"/>
      <c r="BE180" s="1907"/>
    </row>
    <row r="181" spans="1:57" ht="15.75" customHeight="1">
      <c r="A181" s="1208"/>
      <c r="B181" s="1208"/>
      <c r="C181" s="2010" t="s">
        <v>2264</v>
      </c>
      <c r="D181" s="2011"/>
      <c r="E181" s="2011"/>
      <c r="F181" s="2011"/>
      <c r="G181" s="2011"/>
      <c r="H181" s="2011"/>
      <c r="I181" s="2011"/>
      <c r="J181" s="2011"/>
      <c r="K181" s="2011"/>
      <c r="L181" s="2011"/>
      <c r="M181" s="2011"/>
      <c r="N181" s="2021">
        <f>N180/J29</f>
        <v>489275.3125</v>
      </c>
      <c r="O181" s="2021"/>
      <c r="P181" s="2021"/>
      <c r="Q181" s="2021"/>
      <c r="R181" s="2021"/>
      <c r="S181" s="2021"/>
      <c r="T181" s="2021"/>
      <c r="U181" s="1248"/>
      <c r="V181" s="1248"/>
      <c r="W181" s="1248"/>
      <c r="X181" s="1248"/>
      <c r="Y181" s="1248"/>
      <c r="Z181" s="1248"/>
      <c r="AA181" s="1248"/>
      <c r="AB181" s="1248"/>
      <c r="AC181" s="1248"/>
      <c r="AD181" s="1248"/>
      <c r="AE181" s="1249"/>
      <c r="AF181" s="1208"/>
      <c r="AG181" s="1208"/>
      <c r="AH181" s="1907"/>
      <c r="AI181" s="1907"/>
      <c r="AJ181" s="1907"/>
      <c r="AK181" s="1907"/>
      <c r="AL181" s="1907"/>
      <c r="AM181" s="1907"/>
      <c r="AN181" s="1907"/>
      <c r="AO181" s="1907"/>
      <c r="AP181" s="1907"/>
      <c r="AQ181" s="1907"/>
      <c r="AR181" s="1907"/>
      <c r="AS181" s="1907"/>
      <c r="AT181" s="1907"/>
      <c r="AU181" s="1907"/>
      <c r="AV181" s="1907"/>
      <c r="AW181" s="1907"/>
      <c r="AX181" s="1907"/>
      <c r="AY181" s="1907"/>
      <c r="AZ181" s="1907"/>
      <c r="BA181" s="1907"/>
      <c r="BB181" s="1907"/>
      <c r="BC181" s="1907"/>
      <c r="BD181" s="1907"/>
      <c r="BE181" s="1907"/>
    </row>
    <row r="182" spans="1:57" ht="15.75" customHeight="1">
      <c r="A182" s="1208"/>
      <c r="B182" s="1208"/>
      <c r="C182" s="2037" t="s">
        <v>2263</v>
      </c>
      <c r="D182" s="2038"/>
      <c r="E182" s="2038"/>
      <c r="F182" s="2038"/>
      <c r="G182" s="2038"/>
      <c r="H182" s="2038"/>
      <c r="I182" s="2038"/>
      <c r="J182" s="2038"/>
      <c r="K182" s="2038"/>
      <c r="L182" s="2038"/>
      <c r="M182" s="2038"/>
      <c r="N182" s="2039">
        <v>0</v>
      </c>
      <c r="O182" s="2039"/>
      <c r="P182" s="2039"/>
      <c r="Q182" s="2039"/>
      <c r="R182" s="2039"/>
      <c r="S182" s="2039"/>
      <c r="T182" s="2039"/>
      <c r="U182" s="1997"/>
      <c r="V182" s="1997"/>
      <c r="W182" s="1997"/>
      <c r="X182" s="1997"/>
      <c r="Y182" s="1997"/>
      <c r="Z182" s="1997"/>
      <c r="AA182" s="1997"/>
      <c r="AB182" s="1997"/>
      <c r="AC182" s="1997"/>
      <c r="AD182" s="1997"/>
      <c r="AE182" s="1998"/>
      <c r="AF182" s="1208"/>
      <c r="AG182" s="1208"/>
      <c r="AH182" s="1907"/>
      <c r="AI182" s="1907"/>
      <c r="AJ182" s="1907"/>
      <c r="AK182" s="1907"/>
      <c r="AL182" s="1907"/>
      <c r="AM182" s="1907"/>
      <c r="AN182" s="1907"/>
      <c r="AO182" s="1907"/>
      <c r="AP182" s="1907"/>
      <c r="AQ182" s="1907"/>
      <c r="AR182" s="1907"/>
      <c r="AS182" s="1907"/>
      <c r="AT182" s="1907"/>
      <c r="AU182" s="1907"/>
      <c r="AV182" s="1907"/>
      <c r="AW182" s="1907"/>
      <c r="AX182" s="1907"/>
      <c r="AY182" s="1907"/>
      <c r="AZ182" s="1907"/>
      <c r="BA182" s="1907"/>
      <c r="BB182" s="1907"/>
      <c r="BC182" s="1907"/>
      <c r="BD182" s="1907"/>
      <c r="BE182" s="1907"/>
    </row>
    <row r="183" spans="1:57" ht="15.75" customHeight="1" thickBot="1">
      <c r="A183" s="1208"/>
      <c r="B183" s="1208"/>
      <c r="C183" s="2010" t="s">
        <v>2262</v>
      </c>
      <c r="D183" s="2011"/>
      <c r="E183" s="2011"/>
      <c r="F183" s="2011"/>
      <c r="G183" s="2011"/>
      <c r="H183" s="2011"/>
      <c r="I183" s="2011"/>
      <c r="J183" s="2011"/>
      <c r="K183" s="2011"/>
      <c r="L183" s="2011"/>
      <c r="M183" s="2011"/>
      <c r="N183" s="2040">
        <f>SUM('Sources and Uses Budget'!B85:B86)</f>
        <v>7285570</v>
      </c>
      <c r="O183" s="2040"/>
      <c r="P183" s="2040"/>
      <c r="Q183" s="2040"/>
      <c r="R183" s="2040"/>
      <c r="S183" s="2040"/>
      <c r="T183" s="2040"/>
      <c r="U183" s="1997"/>
      <c r="V183" s="1997"/>
      <c r="W183" s="1997"/>
      <c r="X183" s="1997"/>
      <c r="Y183" s="1997"/>
      <c r="Z183" s="1997"/>
      <c r="AA183" s="1997"/>
      <c r="AB183" s="1997"/>
      <c r="AC183" s="1997"/>
      <c r="AD183" s="1997"/>
      <c r="AE183" s="1998"/>
      <c r="AF183" s="1208"/>
      <c r="AG183" s="1208"/>
      <c r="AH183" s="1907"/>
      <c r="AI183" s="1907"/>
      <c r="AJ183" s="1907"/>
      <c r="AK183" s="1907"/>
      <c r="AL183" s="1907"/>
      <c r="AM183" s="1907"/>
      <c r="AN183" s="1907"/>
      <c r="AO183" s="1907"/>
      <c r="AP183" s="1907"/>
      <c r="AQ183" s="1907"/>
      <c r="AR183" s="1907"/>
      <c r="AS183" s="1907"/>
      <c r="AT183" s="1907"/>
      <c r="AU183" s="1907"/>
      <c r="AV183" s="1907"/>
      <c r="AW183" s="1907"/>
      <c r="AX183" s="1907"/>
      <c r="AY183" s="1907"/>
      <c r="AZ183" s="1907"/>
      <c r="BA183" s="1907"/>
      <c r="BB183" s="1907"/>
      <c r="BC183" s="1907"/>
      <c r="BD183" s="1907"/>
      <c r="BE183" s="1907"/>
    </row>
    <row r="184" spans="1:57" ht="15.75" customHeight="1" thickBot="1">
      <c r="A184" s="1208"/>
      <c r="B184" s="1208"/>
      <c r="C184" s="2010" t="s">
        <v>2261</v>
      </c>
      <c r="D184" s="2011"/>
      <c r="E184" s="2011"/>
      <c r="F184" s="2011"/>
      <c r="G184" s="2011"/>
      <c r="H184" s="2011"/>
      <c r="I184" s="2011"/>
      <c r="J184" s="2011"/>
      <c r="K184" s="2011"/>
      <c r="L184" s="2011"/>
      <c r="M184" s="2011"/>
      <c r="N184" s="2040">
        <f>'Sources and Uses Budget'!B8</f>
        <v>6700000</v>
      </c>
      <c r="O184" s="2040"/>
      <c r="P184" s="2040"/>
      <c r="Q184" s="2040"/>
      <c r="R184" s="2040"/>
      <c r="S184" s="2040"/>
      <c r="T184" s="2040"/>
      <c r="U184" s="1997"/>
      <c r="V184" s="1997"/>
      <c r="W184" s="1997"/>
      <c r="X184" s="1997"/>
      <c r="Y184" s="1997"/>
      <c r="Z184" s="1997"/>
      <c r="AA184" s="1997"/>
      <c r="AB184" s="1997"/>
      <c r="AC184" s="1997"/>
      <c r="AD184" s="1997"/>
      <c r="AE184" s="1998"/>
      <c r="AF184" s="1208"/>
      <c r="AG184" s="1208"/>
      <c r="AH184" s="2007" t="s">
        <v>2259</v>
      </c>
      <c r="AI184" s="2008"/>
      <c r="AJ184" s="2008"/>
      <c r="AK184" s="2008"/>
      <c r="AL184" s="2008"/>
      <c r="AM184" s="2008"/>
      <c r="AN184" s="2008"/>
      <c r="AO184" s="2008"/>
      <c r="AP184" s="2008"/>
      <c r="AQ184" s="2008"/>
      <c r="AR184" s="2008"/>
      <c r="AS184" s="2008"/>
      <c r="AT184" s="2008"/>
      <c r="AU184" s="2008"/>
      <c r="AV184" s="2008"/>
      <c r="AW184" s="2008"/>
      <c r="AX184" s="2008"/>
      <c r="AY184" s="2008"/>
      <c r="AZ184" s="2008"/>
      <c r="BA184" s="2008"/>
      <c r="BB184" s="2008"/>
      <c r="BC184" s="2008"/>
      <c r="BD184" s="2008"/>
      <c r="BE184" s="2009"/>
    </row>
    <row r="185" spans="1:57" ht="15.75" customHeight="1">
      <c r="A185" s="1208"/>
      <c r="B185" s="1208"/>
      <c r="C185" s="2010" t="s">
        <v>2260</v>
      </c>
      <c r="D185" s="2011"/>
      <c r="E185" s="2011"/>
      <c r="F185" s="2011"/>
      <c r="G185" s="2011"/>
      <c r="H185" s="2011"/>
      <c r="I185" s="2011"/>
      <c r="J185" s="2011"/>
      <c r="K185" s="2011"/>
      <c r="L185" s="2011"/>
      <c r="M185" s="2011"/>
      <c r="N185" s="1996">
        <v>0</v>
      </c>
      <c r="O185" s="1996"/>
      <c r="P185" s="1996"/>
      <c r="Q185" s="1996"/>
      <c r="R185" s="1996"/>
      <c r="S185" s="1996"/>
      <c r="T185" s="1996"/>
      <c r="U185" s="1997"/>
      <c r="V185" s="1997"/>
      <c r="W185" s="1997"/>
      <c r="X185" s="1997"/>
      <c r="Y185" s="1997"/>
      <c r="Z185" s="1997"/>
      <c r="AA185" s="1997"/>
      <c r="AB185" s="1997"/>
      <c r="AC185" s="1997"/>
      <c r="AD185" s="1997"/>
      <c r="AE185" s="1998"/>
      <c r="AF185" s="1208"/>
      <c r="AG185" s="1208"/>
      <c r="AH185" s="2012" t="s">
        <v>2259</v>
      </c>
      <c r="AI185" s="2013"/>
      <c r="AJ185" s="2013"/>
      <c r="AK185" s="2013"/>
      <c r="AL185" s="2013"/>
      <c r="AM185" s="2013"/>
      <c r="AN185" s="2013"/>
      <c r="AO185" s="2013"/>
      <c r="AP185" s="2013"/>
      <c r="AQ185" s="2013"/>
      <c r="AR185" s="2013"/>
      <c r="AS185" s="2013"/>
      <c r="AT185" s="2013"/>
      <c r="AU185" s="2014">
        <v>0</v>
      </c>
      <c r="AV185" s="2014"/>
      <c r="AW185" s="2014"/>
      <c r="AX185" s="2014"/>
      <c r="AY185" s="2014"/>
      <c r="AZ185" s="2014"/>
      <c r="BA185" s="2014"/>
      <c r="BB185" s="2014"/>
      <c r="BC185" s="2015"/>
      <c r="BD185" s="2016"/>
      <c r="BE185" s="2017"/>
    </row>
    <row r="186" spans="1:57" ht="15.75" customHeight="1">
      <c r="A186" s="1208"/>
      <c r="B186" s="1208"/>
      <c r="C186" s="2010" t="s">
        <v>2258</v>
      </c>
      <c r="D186" s="2011"/>
      <c r="E186" s="2011"/>
      <c r="F186" s="2011"/>
      <c r="G186" s="2011"/>
      <c r="H186" s="2011"/>
      <c r="I186" s="2011"/>
      <c r="J186" s="2011"/>
      <c r="K186" s="2011"/>
      <c r="L186" s="2011"/>
      <c r="M186" s="2011"/>
      <c r="N186" s="1996">
        <v>0</v>
      </c>
      <c r="O186" s="1996"/>
      <c r="P186" s="1996"/>
      <c r="Q186" s="1996"/>
      <c r="R186" s="1996"/>
      <c r="S186" s="1996"/>
      <c r="T186" s="1996"/>
      <c r="U186" s="1997"/>
      <c r="V186" s="1997"/>
      <c r="W186" s="1997"/>
      <c r="X186" s="1997"/>
      <c r="Y186" s="1997"/>
      <c r="Z186" s="1997"/>
      <c r="AA186" s="1997"/>
      <c r="AB186" s="1997"/>
      <c r="AC186" s="1997"/>
      <c r="AD186" s="1997"/>
      <c r="AE186" s="1998"/>
      <c r="AF186" s="1208"/>
      <c r="AG186" s="1208"/>
      <c r="AH186" s="2028" t="s">
        <v>2257</v>
      </c>
      <c r="AI186" s="2029"/>
      <c r="AJ186" s="2029"/>
      <c r="AK186" s="2029"/>
      <c r="AL186" s="2029"/>
      <c r="AM186" s="2029"/>
      <c r="AN186" s="2029"/>
      <c r="AO186" s="2029"/>
      <c r="AP186" s="2029"/>
      <c r="AQ186" s="2029"/>
      <c r="AR186" s="2029"/>
      <c r="AS186" s="2029"/>
      <c r="AT186" s="2029"/>
      <c r="AU186" s="2030"/>
      <c r="AV186" s="2030"/>
      <c r="AW186" s="2030"/>
      <c r="AX186" s="2030"/>
      <c r="AY186" s="2030"/>
      <c r="AZ186" s="2030"/>
      <c r="BA186" s="2030"/>
      <c r="BB186" s="2030"/>
      <c r="BC186" s="2018"/>
      <c r="BD186" s="2019"/>
      <c r="BE186" s="2020"/>
    </row>
    <row r="187" spans="1:57" ht="15.75" customHeight="1">
      <c r="A187" s="1208"/>
      <c r="B187" s="1208"/>
      <c r="C187" s="2002" t="s">
        <v>299</v>
      </c>
      <c r="D187" s="2003"/>
      <c r="E187" s="1995" t="s">
        <v>2255</v>
      </c>
      <c r="F187" s="1995"/>
      <c r="G187" s="1995"/>
      <c r="H187" s="1995"/>
      <c r="I187" s="1995"/>
      <c r="J187" s="1995"/>
      <c r="K187" s="1995"/>
      <c r="L187" s="1995"/>
      <c r="M187" s="1995"/>
      <c r="N187" s="1996">
        <v>0</v>
      </c>
      <c r="O187" s="1996"/>
      <c r="P187" s="1996"/>
      <c r="Q187" s="1996"/>
      <c r="R187" s="1996"/>
      <c r="S187" s="1996"/>
      <c r="T187" s="1996"/>
      <c r="U187" s="1997"/>
      <c r="V187" s="1997"/>
      <c r="W187" s="1997"/>
      <c r="X187" s="1997"/>
      <c r="Y187" s="1997"/>
      <c r="Z187" s="1997"/>
      <c r="AA187" s="1997"/>
      <c r="AB187" s="1997"/>
      <c r="AC187" s="1997"/>
      <c r="AD187" s="1997"/>
      <c r="AE187" s="1998"/>
      <c r="AF187" s="1208"/>
      <c r="AG187" s="1208"/>
      <c r="AH187" s="2004" t="s">
        <v>2256</v>
      </c>
      <c r="AI187" s="2005"/>
      <c r="AJ187" s="2005"/>
      <c r="AK187" s="2005"/>
      <c r="AL187" s="2005"/>
      <c r="AM187" s="2005"/>
      <c r="AN187" s="2005"/>
      <c r="AO187" s="2005"/>
      <c r="AP187" s="2005"/>
      <c r="AQ187" s="2005"/>
      <c r="AR187" s="2005"/>
      <c r="AS187" s="2005"/>
      <c r="AT187" s="2005"/>
      <c r="AU187" s="2006">
        <f>SUM(AU185:BB186)</f>
        <v>0</v>
      </c>
      <c r="AV187" s="2006"/>
      <c r="AW187" s="2006"/>
      <c r="AX187" s="2006"/>
      <c r="AY187" s="2006"/>
      <c r="AZ187" s="2006"/>
      <c r="BA187" s="2006"/>
      <c r="BB187" s="2006"/>
      <c r="BC187" s="2018"/>
      <c r="BD187" s="2019"/>
      <c r="BE187" s="2020"/>
    </row>
    <row r="188" spans="1:57" ht="15.75" customHeight="1" thickBot="1">
      <c r="A188" s="1208"/>
      <c r="B188" s="1208"/>
      <c r="C188" s="1993" t="s">
        <v>299</v>
      </c>
      <c r="D188" s="1994"/>
      <c r="E188" s="1995" t="s">
        <v>2255</v>
      </c>
      <c r="F188" s="1995"/>
      <c r="G188" s="1995"/>
      <c r="H188" s="1995"/>
      <c r="I188" s="1995"/>
      <c r="J188" s="1995"/>
      <c r="K188" s="1995"/>
      <c r="L188" s="1995"/>
      <c r="M188" s="1995"/>
      <c r="N188" s="1996">
        <v>0</v>
      </c>
      <c r="O188" s="1996"/>
      <c r="P188" s="1996"/>
      <c r="Q188" s="1996"/>
      <c r="R188" s="1996"/>
      <c r="S188" s="1996"/>
      <c r="T188" s="1996"/>
      <c r="U188" s="1997"/>
      <c r="V188" s="1997"/>
      <c r="W188" s="1997"/>
      <c r="X188" s="1997"/>
      <c r="Y188" s="1997"/>
      <c r="Z188" s="1997"/>
      <c r="AA188" s="1997"/>
      <c r="AB188" s="1997"/>
      <c r="AC188" s="1997"/>
      <c r="AD188" s="1997"/>
      <c r="AE188" s="199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9"/>
      <c r="BD188" s="2000"/>
      <c r="BE188" s="2001"/>
    </row>
    <row r="189" spans="1:57" ht="15.75" customHeight="1" thickBot="1">
      <c r="A189" s="1208"/>
      <c r="B189" s="1208"/>
      <c r="C189" s="1981" t="s">
        <v>299</v>
      </c>
      <c r="D189" s="1982"/>
      <c r="E189" s="1983" t="s">
        <v>2255</v>
      </c>
      <c r="F189" s="1983"/>
      <c r="G189" s="1983"/>
      <c r="H189" s="1983"/>
      <c r="I189" s="1983"/>
      <c r="J189" s="1983"/>
      <c r="K189" s="1983"/>
      <c r="L189" s="1983"/>
      <c r="M189" s="1984"/>
      <c r="N189" s="1985">
        <v>0</v>
      </c>
      <c r="O189" s="1985"/>
      <c r="P189" s="1985"/>
      <c r="Q189" s="1985"/>
      <c r="R189" s="1985"/>
      <c r="S189" s="1985"/>
      <c r="T189" s="1986"/>
      <c r="U189" s="1987"/>
      <c r="V189" s="1988"/>
      <c r="W189" s="1988"/>
      <c r="X189" s="1988"/>
      <c r="Y189" s="1988"/>
      <c r="Z189" s="1988"/>
      <c r="AA189" s="1988"/>
      <c r="AB189" s="1988"/>
      <c r="AC189" s="1988"/>
      <c r="AD189" s="1988"/>
      <c r="AE189" s="1989"/>
      <c r="AF189" s="1208"/>
      <c r="AG189" s="1208"/>
      <c r="AH189" s="1990" t="s">
        <v>2254</v>
      </c>
      <c r="AI189" s="1991"/>
      <c r="AJ189" s="1991"/>
      <c r="AK189" s="1991"/>
      <c r="AL189" s="1991"/>
      <c r="AM189" s="1991"/>
      <c r="AN189" s="1991"/>
      <c r="AO189" s="1991"/>
      <c r="AP189" s="1991"/>
      <c r="AQ189" s="1991"/>
      <c r="AR189" s="1991"/>
      <c r="AS189" s="1991"/>
      <c r="AT189" s="1991"/>
      <c r="AU189" s="1992"/>
      <c r="AV189" s="1992"/>
      <c r="AW189" s="1992"/>
      <c r="AX189" s="1992"/>
      <c r="AY189" s="1992"/>
      <c r="AZ189" s="1992"/>
      <c r="BA189" s="1992"/>
      <c r="BB189" s="1992"/>
      <c r="BC189" s="1164"/>
      <c r="BD189" s="1164"/>
      <c r="BE189" s="1252"/>
    </row>
    <row r="190" spans="1:57" ht="15.75" customHeight="1">
      <c r="A190" s="1208"/>
      <c r="B190" s="1208"/>
      <c r="C190" s="1964" t="s">
        <v>2253</v>
      </c>
      <c r="D190" s="1965"/>
      <c r="E190" s="1965"/>
      <c r="F190" s="1965"/>
      <c r="G190" s="1965"/>
      <c r="H190" s="1965"/>
      <c r="I190" s="1965"/>
      <c r="J190" s="1965"/>
      <c r="K190" s="1965"/>
      <c r="L190" s="1965"/>
      <c r="M190" s="1965"/>
      <c r="N190" s="1966">
        <f>SUM(N182:T189)</f>
        <v>13985570</v>
      </c>
      <c r="O190" s="1966"/>
      <c r="P190" s="1966"/>
      <c r="Q190" s="1966"/>
      <c r="R190" s="1966"/>
      <c r="S190" s="1966"/>
      <c r="T190" s="1967"/>
      <c r="U190" s="1208"/>
      <c r="V190" s="1208"/>
      <c r="W190" s="1208"/>
      <c r="X190" s="1208"/>
      <c r="Y190" s="1208"/>
      <c r="Z190" s="1208"/>
      <c r="AA190" s="1208"/>
      <c r="AB190" s="1208"/>
      <c r="AC190" s="1208"/>
      <c r="AD190" s="1208"/>
      <c r="AE190" s="1208"/>
      <c r="AF190" s="1208"/>
      <c r="AG190" s="1208"/>
      <c r="AH190" s="1968" t="s">
        <v>2252</v>
      </c>
      <c r="AI190" s="1969"/>
      <c r="AJ190" s="1969"/>
      <c r="AK190" s="1969"/>
      <c r="AL190" s="1969"/>
      <c r="AM190" s="1969"/>
      <c r="AN190" s="1969"/>
      <c r="AO190" s="1969"/>
      <c r="AP190" s="1969"/>
      <c r="AQ190" s="1969"/>
      <c r="AR190" s="1969"/>
      <c r="AS190" s="1969"/>
      <c r="AT190" s="1969"/>
      <c r="AU190" s="1969"/>
      <c r="AV190" s="1969"/>
      <c r="AW190" s="1969"/>
      <c r="AX190" s="1969"/>
      <c r="AY190" s="1969"/>
      <c r="AZ190" s="1969"/>
      <c r="BA190" s="1969"/>
      <c r="BB190" s="1969"/>
      <c r="BC190" s="1969"/>
      <c r="BD190" s="1969"/>
      <c r="BE190" s="1970"/>
    </row>
    <row r="191" spans="1:57" ht="15.75" customHeight="1" thickBot="1">
      <c r="A191" s="1208"/>
      <c r="B191" s="1208"/>
      <c r="C191" s="1974" t="s">
        <v>2251</v>
      </c>
      <c r="D191" s="1975"/>
      <c r="E191" s="1975"/>
      <c r="F191" s="1975"/>
      <c r="G191" s="1975"/>
      <c r="H191" s="1975"/>
      <c r="I191" s="1975"/>
      <c r="J191" s="1975"/>
      <c r="K191" s="1975"/>
      <c r="L191" s="1975"/>
      <c r="M191" s="1975"/>
      <c r="N191" s="1976">
        <f>(N180-N190)/J29</f>
        <v>431002.10416666669</v>
      </c>
      <c r="O191" s="1977"/>
      <c r="P191" s="1977"/>
      <c r="Q191" s="1977"/>
      <c r="R191" s="1977"/>
      <c r="S191" s="1977"/>
      <c r="T191" s="1978"/>
      <c r="U191" s="1216"/>
      <c r="V191" s="1208"/>
      <c r="W191" s="1208"/>
      <c r="X191" s="1208"/>
      <c r="Y191" s="1208"/>
      <c r="Z191" s="1208"/>
      <c r="AA191" s="1208"/>
      <c r="AB191" s="1208"/>
      <c r="AC191" s="1208"/>
      <c r="AD191" s="1208"/>
      <c r="AE191" s="1208"/>
      <c r="AF191" s="1208"/>
      <c r="AG191" s="1208"/>
      <c r="AH191" s="1971"/>
      <c r="AI191" s="1972"/>
      <c r="AJ191" s="1972"/>
      <c r="AK191" s="1972"/>
      <c r="AL191" s="1972"/>
      <c r="AM191" s="1972"/>
      <c r="AN191" s="1972"/>
      <c r="AO191" s="1972"/>
      <c r="AP191" s="1972"/>
      <c r="AQ191" s="1972"/>
      <c r="AR191" s="1972"/>
      <c r="AS191" s="1972"/>
      <c r="AT191" s="1972"/>
      <c r="AU191" s="1972"/>
      <c r="AV191" s="1972"/>
      <c r="AW191" s="1972"/>
      <c r="AX191" s="1972"/>
      <c r="AY191" s="1972"/>
      <c r="AZ191" s="1972"/>
      <c r="BA191" s="1972"/>
      <c r="BB191" s="1972"/>
      <c r="BC191" s="1972"/>
      <c r="BD191" s="1972"/>
      <c r="BE191" s="197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9"/>
      <c r="AI192" s="1979"/>
      <c r="AJ192" s="1979"/>
      <c r="AK192" s="1979"/>
      <c r="AL192" s="1979"/>
      <c r="AM192" s="1979"/>
      <c r="AN192" s="1979"/>
      <c r="AO192" s="1979"/>
      <c r="AP192" s="1979"/>
      <c r="AQ192" s="1979"/>
      <c r="AR192" s="1979"/>
      <c r="AS192" s="1980"/>
      <c r="AT192" s="1980"/>
      <c r="AU192" s="1980"/>
      <c r="AV192" s="1980"/>
      <c r="AW192" s="1980"/>
      <c r="AX192" s="1980"/>
      <c r="AY192" s="1980"/>
      <c r="AZ192" s="1980"/>
      <c r="BA192" s="1980"/>
      <c r="BB192" s="1980"/>
      <c r="BC192" s="1980"/>
      <c r="BD192" s="198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9" t="s">
        <v>2250</v>
      </c>
      <c r="D194" s="1960"/>
      <c r="E194" s="1960"/>
      <c r="F194" s="1960"/>
      <c r="G194" s="1960"/>
      <c r="H194" s="1960"/>
      <c r="I194" s="1960"/>
      <c r="J194" s="1960"/>
      <c r="K194" s="1960"/>
      <c r="L194" s="1960"/>
      <c r="M194" s="1960"/>
      <c r="N194" s="1960"/>
      <c r="O194" s="1960"/>
      <c r="P194" s="1960"/>
      <c r="Q194" s="1960"/>
      <c r="R194" s="1960"/>
      <c r="S194" s="1960"/>
      <c r="T194" s="1960"/>
      <c r="U194" s="1960"/>
      <c r="V194" s="1960"/>
      <c r="W194" s="1960"/>
      <c r="X194" s="1960"/>
      <c r="Y194" s="1960"/>
      <c r="Z194" s="1960"/>
      <c r="AA194" s="1960"/>
      <c r="AB194" s="1960"/>
      <c r="AC194" s="1960"/>
      <c r="AD194" s="1960"/>
      <c r="AE194" s="196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2" t="s">
        <v>2249</v>
      </c>
      <c r="D195" s="1962"/>
      <c r="E195" s="1962"/>
      <c r="F195" s="1962"/>
      <c r="G195" s="1962"/>
      <c r="H195" s="1962"/>
      <c r="I195" s="1962"/>
      <c r="J195" s="1962"/>
      <c r="K195" s="1962"/>
      <c r="L195" s="1962"/>
      <c r="M195" s="1962"/>
      <c r="N195" s="1962"/>
      <c r="O195" s="1963" t="s">
        <v>2248</v>
      </c>
      <c r="P195" s="1963"/>
      <c r="Q195" s="1963"/>
      <c r="R195" s="1963"/>
      <c r="S195" s="1963"/>
      <c r="T195" s="1963"/>
      <c r="U195" s="1963"/>
      <c r="V195" s="1963"/>
      <c r="W195" s="1963"/>
      <c r="X195" s="1963" t="s">
        <v>2247</v>
      </c>
      <c r="Y195" s="1963"/>
      <c r="Z195" s="1963"/>
      <c r="AA195" s="1963"/>
      <c r="AB195" s="1963"/>
      <c r="AC195" s="1963"/>
      <c r="AD195" s="1963"/>
      <c r="AE195" s="196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4" t="s">
        <v>2246</v>
      </c>
      <c r="D196" s="1954"/>
      <c r="E196" s="1954"/>
      <c r="F196" s="1954"/>
      <c r="G196" s="1954"/>
      <c r="H196" s="1954"/>
      <c r="I196" s="1954"/>
      <c r="J196" s="1954"/>
      <c r="K196" s="1954"/>
      <c r="L196" s="1954"/>
      <c r="M196" s="1954"/>
      <c r="N196" s="1954"/>
      <c r="O196" s="1955" t="s">
        <v>2245</v>
      </c>
      <c r="P196" s="1955"/>
      <c r="Q196" s="1955"/>
      <c r="R196" s="1955"/>
      <c r="S196" s="1955"/>
      <c r="T196" s="1955"/>
      <c r="U196" s="1955"/>
      <c r="V196" s="1955"/>
      <c r="W196" s="1955"/>
      <c r="X196" s="1956">
        <v>0.03</v>
      </c>
      <c r="Y196" s="1956"/>
      <c r="Z196" s="1956"/>
      <c r="AA196" s="1956"/>
      <c r="AB196" s="1956"/>
      <c r="AC196" s="1956"/>
      <c r="AD196" s="1956"/>
      <c r="AE196" s="195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4" t="s">
        <v>852</v>
      </c>
      <c r="D197" s="1954"/>
      <c r="E197" s="1954"/>
      <c r="F197" s="1954"/>
      <c r="G197" s="1954"/>
      <c r="H197" s="1954"/>
      <c r="I197" s="1954"/>
      <c r="J197" s="1954"/>
      <c r="K197" s="1954"/>
      <c r="L197" s="1954"/>
      <c r="M197" s="1954"/>
      <c r="N197" s="1954"/>
      <c r="O197" s="1955" t="s">
        <v>2245</v>
      </c>
      <c r="P197" s="1955"/>
      <c r="Q197" s="1955"/>
      <c r="R197" s="1955"/>
      <c r="S197" s="1955"/>
      <c r="T197" s="1955"/>
      <c r="U197" s="1955"/>
      <c r="V197" s="1955"/>
      <c r="W197" s="1955"/>
      <c r="X197" s="1956">
        <v>0.03</v>
      </c>
      <c r="Y197" s="1956"/>
      <c r="Z197" s="1956"/>
      <c r="AA197" s="1956"/>
      <c r="AB197" s="1956"/>
      <c r="AC197" s="1956"/>
      <c r="AD197" s="1956"/>
      <c r="AE197" s="195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4" t="s">
        <v>2244</v>
      </c>
      <c r="D198" s="1954"/>
      <c r="E198" s="1954"/>
      <c r="F198" s="1954"/>
      <c r="G198" s="1954"/>
      <c r="H198" s="1954"/>
      <c r="I198" s="1954"/>
      <c r="J198" s="1954"/>
      <c r="K198" s="1954"/>
      <c r="L198" s="1954"/>
      <c r="M198" s="1954"/>
      <c r="N198" s="1954"/>
      <c r="O198" s="1957">
        <f>SUM(O196:W197)</f>
        <v>0</v>
      </c>
      <c r="P198" s="1958"/>
      <c r="Q198" s="1958"/>
      <c r="R198" s="1958"/>
      <c r="S198" s="1958"/>
      <c r="T198" s="1958"/>
      <c r="U198" s="1958"/>
      <c r="V198" s="1958"/>
      <c r="W198" s="1958"/>
      <c r="X198" s="1958" t="s">
        <v>2243</v>
      </c>
      <c r="Y198" s="1958"/>
      <c r="Z198" s="1958"/>
      <c r="AA198" s="1958"/>
      <c r="AB198" s="1958"/>
      <c r="AC198" s="1958"/>
      <c r="AD198" s="1958"/>
      <c r="AE198" s="195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8" t="s">
        <v>2242</v>
      </c>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1928"/>
      <c r="AD199" s="1928"/>
      <c r="AE199" s="192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9" t="s">
        <v>2241</v>
      </c>
      <c r="D201" s="1930"/>
      <c r="E201" s="1930"/>
      <c r="F201" s="1930"/>
      <c r="G201" s="1930"/>
      <c r="H201" s="1930"/>
      <c r="I201" s="1930"/>
      <c r="J201" s="1930"/>
      <c r="K201" s="1930"/>
      <c r="L201" s="1930"/>
      <c r="M201" s="1930"/>
      <c r="N201" s="1930"/>
      <c r="O201" s="1930"/>
      <c r="P201" s="1930"/>
      <c r="Q201" s="1930"/>
      <c r="R201" s="1930"/>
      <c r="S201" s="1930"/>
      <c r="T201" s="1930"/>
      <c r="U201" s="1930"/>
      <c r="V201" s="1930"/>
      <c r="W201" s="1930"/>
      <c r="X201" s="1930"/>
      <c r="Y201" s="1930"/>
      <c r="Z201" s="1930"/>
      <c r="AA201" s="1930"/>
      <c r="AB201" s="1930"/>
      <c r="AC201" s="1930"/>
      <c r="AD201" s="1930"/>
      <c r="AE201" s="1930"/>
      <c r="AF201" s="1930"/>
      <c r="AG201" s="1930"/>
      <c r="AH201" s="1930"/>
      <c r="AI201" s="1930"/>
      <c r="AJ201" s="1930"/>
      <c r="AK201" s="193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2" t="s">
        <v>2240</v>
      </c>
      <c r="D202" s="1933"/>
      <c r="E202" s="1933"/>
      <c r="F202" s="1934"/>
      <c r="G202" s="1938" t="s">
        <v>2239</v>
      </c>
      <c r="H202" s="1933"/>
      <c r="I202" s="1933"/>
      <c r="J202" s="1933"/>
      <c r="K202" s="1933"/>
      <c r="L202" s="1933"/>
      <c r="M202" s="1933"/>
      <c r="N202" s="1933"/>
      <c r="O202" s="1934"/>
      <c r="P202" s="1940" t="s">
        <v>2238</v>
      </c>
      <c r="Q202" s="1941"/>
      <c r="R202" s="1941"/>
      <c r="S202" s="1941"/>
      <c r="T202" s="1942"/>
      <c r="U202" s="1946" t="s">
        <v>2237</v>
      </c>
      <c r="V202" s="1947"/>
      <c r="W202" s="1947"/>
      <c r="X202" s="1948"/>
      <c r="Y202" s="1946" t="s">
        <v>2236</v>
      </c>
      <c r="Z202" s="1947"/>
      <c r="AA202" s="1947"/>
      <c r="AB202" s="1948"/>
      <c r="AC202" s="1946" t="s">
        <v>2235</v>
      </c>
      <c r="AD202" s="1947"/>
      <c r="AE202" s="1947"/>
      <c r="AF202" s="1948"/>
      <c r="AG202" s="1938" t="s">
        <v>2234</v>
      </c>
      <c r="AH202" s="1933"/>
      <c r="AI202" s="1933"/>
      <c r="AJ202" s="1933"/>
      <c r="AK202" s="195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5"/>
      <c r="D203" s="1936"/>
      <c r="E203" s="1936"/>
      <c r="F203" s="1937"/>
      <c r="G203" s="1939"/>
      <c r="H203" s="1936"/>
      <c r="I203" s="1936"/>
      <c r="J203" s="1936"/>
      <c r="K203" s="1936"/>
      <c r="L203" s="1936"/>
      <c r="M203" s="1936"/>
      <c r="N203" s="1936"/>
      <c r="O203" s="1937"/>
      <c r="P203" s="1943"/>
      <c r="Q203" s="1944"/>
      <c r="R203" s="1944"/>
      <c r="S203" s="1944"/>
      <c r="T203" s="1945"/>
      <c r="U203" s="1949"/>
      <c r="V203" s="1950"/>
      <c r="W203" s="1950"/>
      <c r="X203" s="1951"/>
      <c r="Y203" s="1949"/>
      <c r="Z203" s="1950"/>
      <c r="AA203" s="1950"/>
      <c r="AB203" s="1951"/>
      <c r="AC203" s="1949"/>
      <c r="AD203" s="1950"/>
      <c r="AE203" s="1950"/>
      <c r="AF203" s="1951"/>
      <c r="AG203" s="1939"/>
      <c r="AH203" s="1936"/>
      <c r="AI203" s="1936"/>
      <c r="AJ203" s="1936"/>
      <c r="AK203" s="195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1">
        <v>1</v>
      </c>
      <c r="D204" s="1922"/>
      <c r="E204" s="1922"/>
      <c r="F204" s="1922"/>
      <c r="G204" s="1923" t="s">
        <v>1856</v>
      </c>
      <c r="H204" s="1923"/>
      <c r="I204" s="1923"/>
      <c r="J204" s="1923"/>
      <c r="K204" s="1923"/>
      <c r="L204" s="1923"/>
      <c r="M204" s="1923"/>
      <c r="N204" s="1923"/>
      <c r="O204" s="1923"/>
      <c r="P204" s="1924"/>
      <c r="Q204" s="1927"/>
      <c r="R204" s="1927"/>
      <c r="S204" s="1927"/>
      <c r="T204" s="1927"/>
      <c r="U204" s="1925" t="s">
        <v>1856</v>
      </c>
      <c r="V204" s="1925"/>
      <c r="W204" s="1925"/>
      <c r="X204" s="1925"/>
      <c r="Y204" s="1925" t="s">
        <v>1856</v>
      </c>
      <c r="Z204" s="1925"/>
      <c r="AA204" s="1925"/>
      <c r="AB204" s="1925"/>
      <c r="AC204" s="1926" t="s">
        <v>1856</v>
      </c>
      <c r="AD204" s="1926"/>
      <c r="AE204" s="1926"/>
      <c r="AF204" s="1926"/>
      <c r="AG204" s="1910"/>
      <c r="AH204" s="1911"/>
      <c r="AI204" s="1911"/>
      <c r="AJ204" s="1911"/>
      <c r="AK204" s="191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1">
        <v>2</v>
      </c>
      <c r="D205" s="1922"/>
      <c r="E205" s="1922"/>
      <c r="F205" s="1922"/>
      <c r="G205" s="1923" t="s">
        <v>1856</v>
      </c>
      <c r="H205" s="1923"/>
      <c r="I205" s="1923"/>
      <c r="J205" s="1923"/>
      <c r="K205" s="1923"/>
      <c r="L205" s="1923"/>
      <c r="M205" s="1923"/>
      <c r="N205" s="1923"/>
      <c r="O205" s="1923"/>
      <c r="P205" s="1924"/>
      <c r="Q205" s="1924"/>
      <c r="R205" s="1924"/>
      <c r="S205" s="1924"/>
      <c r="T205" s="1924"/>
      <c r="U205" s="1925" t="s">
        <v>1856</v>
      </c>
      <c r="V205" s="1925"/>
      <c r="W205" s="1925"/>
      <c r="X205" s="1925"/>
      <c r="Y205" s="1925" t="s">
        <v>1856</v>
      </c>
      <c r="Z205" s="1925"/>
      <c r="AA205" s="1925"/>
      <c r="AB205" s="1925"/>
      <c r="AC205" s="1926" t="s">
        <v>1856</v>
      </c>
      <c r="AD205" s="1926"/>
      <c r="AE205" s="1926"/>
      <c r="AF205" s="1926"/>
      <c r="AG205" s="1910"/>
      <c r="AH205" s="1911"/>
      <c r="AI205" s="1911"/>
      <c r="AJ205" s="1911"/>
      <c r="AK205" s="191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1">
        <v>3</v>
      </c>
      <c r="D206" s="1922"/>
      <c r="E206" s="1922"/>
      <c r="F206" s="1922"/>
      <c r="G206" s="1923" t="s">
        <v>1856</v>
      </c>
      <c r="H206" s="1923"/>
      <c r="I206" s="1923"/>
      <c r="J206" s="1923"/>
      <c r="K206" s="1923"/>
      <c r="L206" s="1923"/>
      <c r="M206" s="1923"/>
      <c r="N206" s="1923"/>
      <c r="O206" s="1923"/>
      <c r="P206" s="1924"/>
      <c r="Q206" s="1924"/>
      <c r="R206" s="1924"/>
      <c r="S206" s="1924"/>
      <c r="T206" s="1924"/>
      <c r="U206" s="1925" t="s">
        <v>1856</v>
      </c>
      <c r="V206" s="1925"/>
      <c r="W206" s="1925"/>
      <c r="X206" s="1925"/>
      <c r="Y206" s="1925" t="s">
        <v>1856</v>
      </c>
      <c r="Z206" s="1925"/>
      <c r="AA206" s="1925"/>
      <c r="AB206" s="1925"/>
      <c r="AC206" s="1926" t="s">
        <v>1856</v>
      </c>
      <c r="AD206" s="1926"/>
      <c r="AE206" s="1926"/>
      <c r="AF206" s="1926"/>
      <c r="AG206" s="1910"/>
      <c r="AH206" s="1911"/>
      <c r="AI206" s="1911"/>
      <c r="AJ206" s="1911"/>
      <c r="AK206" s="191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1">
        <v>4</v>
      </c>
      <c r="D207" s="1922"/>
      <c r="E207" s="1922"/>
      <c r="F207" s="1922"/>
      <c r="G207" s="1923" t="s">
        <v>1856</v>
      </c>
      <c r="H207" s="1923"/>
      <c r="I207" s="1923"/>
      <c r="J207" s="1923"/>
      <c r="K207" s="1923"/>
      <c r="L207" s="1923"/>
      <c r="M207" s="1923"/>
      <c r="N207" s="1923"/>
      <c r="O207" s="1923"/>
      <c r="P207" s="1924"/>
      <c r="Q207" s="1924"/>
      <c r="R207" s="1924"/>
      <c r="S207" s="1924"/>
      <c r="T207" s="1924"/>
      <c r="U207" s="1925" t="s">
        <v>1856</v>
      </c>
      <c r="V207" s="1925"/>
      <c r="W207" s="1925"/>
      <c r="X207" s="1925"/>
      <c r="Y207" s="1925" t="s">
        <v>1856</v>
      </c>
      <c r="Z207" s="1925"/>
      <c r="AA207" s="1925"/>
      <c r="AB207" s="1925"/>
      <c r="AC207" s="1926" t="s">
        <v>1856</v>
      </c>
      <c r="AD207" s="1926"/>
      <c r="AE207" s="1926"/>
      <c r="AF207" s="1926"/>
      <c r="AG207" s="1910"/>
      <c r="AH207" s="1911"/>
      <c r="AI207" s="1911"/>
      <c r="AJ207" s="1911"/>
      <c r="AK207" s="191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1">
        <v>5</v>
      </c>
      <c r="D208" s="1922"/>
      <c r="E208" s="1922"/>
      <c r="F208" s="1922"/>
      <c r="G208" s="1923" t="s">
        <v>1856</v>
      </c>
      <c r="H208" s="1923"/>
      <c r="I208" s="1923"/>
      <c r="J208" s="1923"/>
      <c r="K208" s="1923"/>
      <c r="L208" s="1923"/>
      <c r="M208" s="1923"/>
      <c r="N208" s="1923"/>
      <c r="O208" s="1923"/>
      <c r="P208" s="1924"/>
      <c r="Q208" s="1924"/>
      <c r="R208" s="1924"/>
      <c r="S208" s="1924"/>
      <c r="T208" s="1924"/>
      <c r="U208" s="1925" t="s">
        <v>1856</v>
      </c>
      <c r="V208" s="1925"/>
      <c r="W208" s="1925"/>
      <c r="X208" s="1925"/>
      <c r="Y208" s="1925" t="s">
        <v>1856</v>
      </c>
      <c r="Z208" s="1925"/>
      <c r="AA208" s="1925"/>
      <c r="AB208" s="1925"/>
      <c r="AC208" s="1926" t="s">
        <v>1856</v>
      </c>
      <c r="AD208" s="1926"/>
      <c r="AE208" s="1926"/>
      <c r="AF208" s="1926"/>
      <c r="AG208" s="1910"/>
      <c r="AH208" s="1911"/>
      <c r="AI208" s="1911"/>
      <c r="AJ208" s="1911"/>
      <c r="AK208" s="191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1">
        <v>6</v>
      </c>
      <c r="D209" s="1922"/>
      <c r="E209" s="1922"/>
      <c r="F209" s="1922"/>
      <c r="G209" s="1923" t="s">
        <v>1856</v>
      </c>
      <c r="H209" s="1923"/>
      <c r="I209" s="1923"/>
      <c r="J209" s="1923"/>
      <c r="K209" s="1923"/>
      <c r="L209" s="1923"/>
      <c r="M209" s="1923"/>
      <c r="N209" s="1923"/>
      <c r="O209" s="1923"/>
      <c r="P209" s="1924"/>
      <c r="Q209" s="1924"/>
      <c r="R209" s="1924"/>
      <c r="S209" s="1924"/>
      <c r="T209" s="1924"/>
      <c r="U209" s="1925"/>
      <c r="V209" s="1925"/>
      <c r="W209" s="1925"/>
      <c r="X209" s="1925"/>
      <c r="Y209" s="1925"/>
      <c r="Z209" s="1925"/>
      <c r="AA209" s="1925"/>
      <c r="AB209" s="1925"/>
      <c r="AC209" s="1926" t="s">
        <v>1856</v>
      </c>
      <c r="AD209" s="1926"/>
      <c r="AE209" s="1926"/>
      <c r="AF209" s="1926"/>
      <c r="AG209" s="1910"/>
      <c r="AH209" s="1911"/>
      <c r="AI209" s="1911"/>
      <c r="AJ209" s="1911"/>
      <c r="AK209" s="191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1">
        <v>7</v>
      </c>
      <c r="D210" s="1922"/>
      <c r="E210" s="1922"/>
      <c r="F210" s="1922"/>
      <c r="G210" s="1923"/>
      <c r="H210" s="1923"/>
      <c r="I210" s="1923"/>
      <c r="J210" s="1923"/>
      <c r="K210" s="1923"/>
      <c r="L210" s="1923"/>
      <c r="M210" s="1923"/>
      <c r="N210" s="1923"/>
      <c r="O210" s="1923"/>
      <c r="P210" s="1924"/>
      <c r="Q210" s="1924"/>
      <c r="R210" s="1924"/>
      <c r="S210" s="1924"/>
      <c r="T210" s="1924"/>
      <c r="U210" s="1925"/>
      <c r="V210" s="1925"/>
      <c r="W210" s="1925"/>
      <c r="X210" s="1925"/>
      <c r="Y210" s="1925"/>
      <c r="Z210" s="1925"/>
      <c r="AA210" s="1925"/>
      <c r="AB210" s="1925"/>
      <c r="AC210" s="1926" t="s">
        <v>1856</v>
      </c>
      <c r="AD210" s="1926"/>
      <c r="AE210" s="1926"/>
      <c r="AF210" s="1926"/>
      <c r="AG210" s="1910"/>
      <c r="AH210" s="1911"/>
      <c r="AI210" s="1911"/>
      <c r="AJ210" s="1911"/>
      <c r="AK210" s="191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3" t="s">
        <v>2233</v>
      </c>
      <c r="D211" s="1914"/>
      <c r="E211" s="1914"/>
      <c r="F211" s="1914"/>
      <c r="G211" s="1914"/>
      <c r="H211" s="1914"/>
      <c r="I211" s="1914"/>
      <c r="J211" s="1914"/>
      <c r="K211" s="1914"/>
      <c r="L211" s="1914"/>
      <c r="M211" s="1914"/>
      <c r="N211" s="1914"/>
      <c r="O211" s="1914"/>
      <c r="P211" s="1915"/>
      <c r="Q211" s="1915"/>
      <c r="R211" s="1915"/>
      <c r="S211" s="1915"/>
      <c r="T211" s="1915"/>
      <c r="U211" s="1916">
        <f>-SUM(U204:U210)</f>
        <v>0</v>
      </c>
      <c r="V211" s="1916"/>
      <c r="W211" s="1916"/>
      <c r="X211" s="1916"/>
      <c r="Y211" s="1916">
        <f>-SUM(Y204:Y210)</f>
        <v>0</v>
      </c>
      <c r="Z211" s="1916"/>
      <c r="AA211" s="1916"/>
      <c r="AB211" s="1916"/>
      <c r="AC211" s="1917">
        <f>-SUM(AC204:AC210)</f>
        <v>0</v>
      </c>
      <c r="AD211" s="1917"/>
      <c r="AE211" s="1917"/>
      <c r="AF211" s="1917"/>
      <c r="AG211" s="1918"/>
      <c r="AH211" s="1919"/>
      <c r="AI211" s="1919"/>
      <c r="AJ211" s="1919"/>
      <c r="AK211" s="192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7" t="s">
        <v>2231</v>
      </c>
      <c r="C216" s="1898"/>
      <c r="D216" s="1898"/>
      <c r="E216" s="1898"/>
      <c r="F216" s="1898"/>
      <c r="G216" s="1898"/>
      <c r="H216" s="1898"/>
      <c r="I216" s="1898"/>
      <c r="J216" s="1898"/>
      <c r="K216" s="1898"/>
      <c r="L216" s="1898"/>
      <c r="M216" s="1898"/>
      <c r="N216" s="1898"/>
      <c r="O216" s="1898"/>
      <c r="P216" s="1898"/>
      <c r="Q216" s="1898"/>
      <c r="R216" s="1898"/>
      <c r="S216" s="1898"/>
      <c r="T216" s="1898"/>
      <c r="U216" s="1898"/>
      <c r="V216" s="1898"/>
      <c r="W216" s="1898"/>
      <c r="X216" s="1898"/>
      <c r="Y216" s="1898"/>
      <c r="Z216" s="1898"/>
      <c r="AA216" s="1898"/>
      <c r="AB216" s="1898"/>
      <c r="AC216" s="1898"/>
      <c r="AD216" s="1898"/>
      <c r="AE216" s="1898"/>
      <c r="AF216" s="1898"/>
      <c r="AG216" s="1898"/>
      <c r="AH216" s="1898"/>
      <c r="AI216" s="1898"/>
      <c r="AJ216" s="1898"/>
      <c r="AK216" s="1898"/>
      <c r="AL216" s="1898"/>
      <c r="AM216" s="1898"/>
      <c r="AN216" s="1898"/>
      <c r="AO216" s="1898"/>
      <c r="AP216" s="1898"/>
      <c r="AQ216" s="1898"/>
      <c r="AR216" s="1898"/>
      <c r="AS216" s="1898"/>
      <c r="AT216" s="1898"/>
      <c r="AU216" s="1898"/>
      <c r="AV216" s="1898"/>
      <c r="AW216" s="1898"/>
      <c r="AX216" s="1898"/>
      <c r="AY216" s="1898"/>
      <c r="AZ216" s="1898"/>
      <c r="BA216" s="1898"/>
      <c r="BB216" s="1898"/>
      <c r="BC216" s="1898"/>
      <c r="BD216" s="1899"/>
      <c r="BE216" s="1215"/>
    </row>
    <row r="217" spans="1:57" ht="15.75" customHeight="1">
      <c r="A217" s="1208"/>
      <c r="B217" s="1900"/>
      <c r="C217" s="1901"/>
      <c r="D217" s="1901"/>
      <c r="E217" s="1901"/>
      <c r="F217" s="1901"/>
      <c r="G217" s="1901"/>
      <c r="H217" s="1901"/>
      <c r="I217" s="1901"/>
      <c r="J217" s="1901"/>
      <c r="K217" s="1901"/>
      <c r="L217" s="1901"/>
      <c r="M217" s="1901"/>
      <c r="N217" s="1901"/>
      <c r="O217" s="1901"/>
      <c r="P217" s="1901"/>
      <c r="Q217" s="1901"/>
      <c r="R217" s="1901"/>
      <c r="S217" s="1901"/>
      <c r="T217" s="1901"/>
      <c r="U217" s="1901"/>
      <c r="V217" s="1901"/>
      <c r="W217" s="1901"/>
      <c r="X217" s="1901"/>
      <c r="Y217" s="1901"/>
      <c r="Z217" s="1901"/>
      <c r="AA217" s="1901"/>
      <c r="AB217" s="1901"/>
      <c r="AC217" s="1901"/>
      <c r="AD217" s="1901"/>
      <c r="AE217" s="1901"/>
      <c r="AF217" s="1901"/>
      <c r="AG217" s="1901"/>
      <c r="AH217" s="1901"/>
      <c r="AI217" s="1901"/>
      <c r="AJ217" s="1901"/>
      <c r="AK217" s="1901"/>
      <c r="AL217" s="1901"/>
      <c r="AM217" s="1901"/>
      <c r="AN217" s="1901"/>
      <c r="AO217" s="1901"/>
      <c r="AP217" s="1901"/>
      <c r="AQ217" s="1901"/>
      <c r="AR217" s="1901"/>
      <c r="AS217" s="1901"/>
      <c r="AT217" s="1901"/>
      <c r="AU217" s="1901"/>
      <c r="AV217" s="1901"/>
      <c r="AW217" s="1901"/>
      <c r="AX217" s="1901"/>
      <c r="AY217" s="1901"/>
      <c r="AZ217" s="1901"/>
      <c r="BA217" s="1901"/>
      <c r="BB217" s="1901"/>
      <c r="BC217" s="1901"/>
      <c r="BD217" s="1902"/>
      <c r="BE217" s="1215"/>
    </row>
    <row r="218" spans="1:57" ht="15.75" customHeight="1">
      <c r="A218" s="1208"/>
      <c r="B218" s="1903" t="s">
        <v>2230</v>
      </c>
      <c r="C218" s="1904"/>
      <c r="D218" s="1904"/>
      <c r="E218" s="1904"/>
      <c r="F218" s="1904"/>
      <c r="G218" s="1904"/>
      <c r="H218" s="1904"/>
      <c r="I218" s="1904"/>
      <c r="J218" s="1904"/>
      <c r="K218" s="1904"/>
      <c r="L218" s="1904"/>
      <c r="M218" s="1904"/>
      <c r="N218" s="1904"/>
      <c r="O218" s="1904"/>
      <c r="P218" s="1904"/>
      <c r="Q218" s="1904"/>
      <c r="R218" s="1904"/>
      <c r="S218" s="1904"/>
      <c r="T218" s="1904"/>
      <c r="U218" s="1904"/>
      <c r="V218" s="1904"/>
      <c r="W218" s="1904"/>
      <c r="X218" s="1904"/>
      <c r="Y218" s="1904"/>
      <c r="Z218" s="1904"/>
      <c r="AA218" s="1904"/>
      <c r="AB218" s="1904"/>
      <c r="AC218" s="1904"/>
      <c r="AD218" s="1904"/>
      <c r="AE218" s="1904"/>
      <c r="AF218" s="1904"/>
      <c r="AG218" s="1904"/>
      <c r="AH218" s="1904"/>
      <c r="AI218" s="1904"/>
      <c r="AJ218" s="1904"/>
      <c r="AK218" s="1904"/>
      <c r="AL218" s="1904"/>
      <c r="AM218" s="1904"/>
      <c r="AN218" s="1904"/>
      <c r="AO218" s="1904"/>
      <c r="AP218" s="1904"/>
      <c r="AQ218" s="1904"/>
      <c r="AR218" s="1904"/>
      <c r="AS218" s="1904"/>
      <c r="AT218" s="1904"/>
      <c r="AU218" s="1904"/>
      <c r="AV218" s="1904"/>
      <c r="AW218" s="1904"/>
      <c r="AX218" s="1904"/>
      <c r="AY218" s="1904"/>
      <c r="AZ218" s="1904"/>
      <c r="BA218" s="1904"/>
      <c r="BB218" s="1904"/>
      <c r="BC218" s="1904"/>
      <c r="BD218" s="1905"/>
      <c r="BE218" s="1215"/>
    </row>
    <row r="219" spans="1:57" ht="15.75" customHeight="1">
      <c r="A219" s="1208"/>
      <c r="B219" s="1903" t="s">
        <v>2229</v>
      </c>
      <c r="C219" s="1904"/>
      <c r="D219" s="1904"/>
      <c r="E219" s="1904"/>
      <c r="F219" s="1904"/>
      <c r="G219" s="1904"/>
      <c r="H219" s="1904"/>
      <c r="I219" s="1904"/>
      <c r="J219" s="1904"/>
      <c r="K219" s="1904"/>
      <c r="L219" s="1904"/>
      <c r="M219" s="1904"/>
      <c r="N219" s="1904"/>
      <c r="O219" s="1904"/>
      <c r="P219" s="1904"/>
      <c r="Q219" s="1904"/>
      <c r="R219" s="1904"/>
      <c r="S219" s="1904"/>
      <c r="T219" s="1904"/>
      <c r="U219" s="1904"/>
      <c r="V219" s="1904"/>
      <c r="W219" s="1904"/>
      <c r="X219" s="1904"/>
      <c r="Y219" s="1904"/>
      <c r="Z219" s="1904"/>
      <c r="AA219" s="1904"/>
      <c r="AB219" s="1904"/>
      <c r="AC219" s="1904"/>
      <c r="AD219" s="1904"/>
      <c r="AE219" s="1904"/>
      <c r="AF219" s="1904"/>
      <c r="AG219" s="1904"/>
      <c r="AH219" s="1904"/>
      <c r="AI219" s="1904"/>
      <c r="AJ219" s="1904"/>
      <c r="AK219" s="1904"/>
      <c r="AL219" s="1904"/>
      <c r="AM219" s="1904"/>
      <c r="AN219" s="1904"/>
      <c r="AO219" s="1904"/>
      <c r="AP219" s="1904"/>
      <c r="AQ219" s="1904"/>
      <c r="AR219" s="1904"/>
      <c r="AS219" s="1904"/>
      <c r="AT219" s="1904"/>
      <c r="AU219" s="1904"/>
      <c r="AV219" s="1904"/>
      <c r="AW219" s="1904"/>
      <c r="AX219" s="1904"/>
      <c r="AY219" s="1904"/>
      <c r="AZ219" s="1904"/>
      <c r="BA219" s="1904"/>
      <c r="BB219" s="1904"/>
      <c r="BC219" s="1904"/>
      <c r="BD219" s="190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6" t="s">
        <v>2228</v>
      </c>
      <c r="C221" s="1907"/>
      <c r="D221" s="1907"/>
      <c r="E221" s="1907"/>
      <c r="F221" s="1907"/>
      <c r="G221" s="1907"/>
      <c r="H221" s="1907"/>
      <c r="I221" s="1907"/>
      <c r="J221" s="1907"/>
      <c r="K221" s="1907"/>
      <c r="L221" s="1907"/>
      <c r="M221" s="1907"/>
      <c r="N221" s="1907"/>
      <c r="O221" s="1907"/>
      <c r="P221" s="1907"/>
      <c r="Q221" s="1907"/>
      <c r="R221" s="1907"/>
      <c r="S221" s="1907"/>
      <c r="T221" s="1907"/>
      <c r="U221" s="1907"/>
      <c r="V221" s="1907"/>
      <c r="W221" s="1907"/>
      <c r="X221" s="1907"/>
      <c r="Y221" s="1907"/>
      <c r="Z221" s="1907"/>
      <c r="AA221" s="1907"/>
      <c r="AB221" s="1907"/>
      <c r="AC221" s="1907"/>
      <c r="AD221" s="1907"/>
      <c r="AE221" s="1907"/>
      <c r="AF221" s="1907"/>
      <c r="AG221" s="1907"/>
      <c r="AH221" s="1907"/>
      <c r="AI221" s="1907"/>
      <c r="AJ221" s="1907"/>
      <c r="AK221" s="1907"/>
      <c r="AL221" s="1907"/>
      <c r="AM221" s="1907"/>
      <c r="AN221" s="1907"/>
      <c r="AO221" s="1907"/>
      <c r="AP221" s="1907"/>
      <c r="AQ221" s="1907"/>
      <c r="AR221" s="1907"/>
      <c r="AS221" s="1907"/>
      <c r="AT221" s="1907"/>
      <c r="AU221" s="1907"/>
      <c r="AV221" s="1907"/>
      <c r="AW221" s="1907"/>
      <c r="AX221" s="1907"/>
      <c r="AY221" s="1907"/>
      <c r="AZ221" s="1907"/>
      <c r="BA221" s="1907"/>
      <c r="BB221" s="1907"/>
      <c r="BC221" s="1907"/>
      <c r="BD221" s="190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9" t="s">
        <v>2226</v>
      </c>
      <c r="I225" s="1909"/>
      <c r="J225" s="1909"/>
      <c r="K225" s="1909"/>
      <c r="L225" s="1909"/>
      <c r="M225" s="1909"/>
      <c r="N225" s="1909"/>
      <c r="O225" s="1909"/>
      <c r="P225" s="1909"/>
      <c r="Q225" s="1909"/>
      <c r="R225" s="1909"/>
      <c r="S225" s="1909"/>
      <c r="T225" s="1909"/>
      <c r="U225" s="1909"/>
      <c r="V225" s="1909"/>
      <c r="W225" s="1909"/>
      <c r="X225" s="1909"/>
      <c r="Y225" s="1909"/>
      <c r="Z225" s="1909"/>
      <c r="AA225" s="1909"/>
      <c r="AB225" s="1909"/>
      <c r="AC225" s="1909"/>
      <c r="AD225" s="1909"/>
      <c r="AE225" s="1909"/>
      <c r="AF225" s="1909"/>
      <c r="AG225" s="1909"/>
      <c r="AH225" s="1909"/>
      <c r="AI225" s="1909"/>
      <c r="AJ225" s="1909"/>
      <c r="AK225" s="1909"/>
      <c r="AL225" s="1909"/>
      <c r="AM225" s="1909"/>
      <c r="AN225" s="1909"/>
      <c r="AO225" s="1909"/>
      <c r="AP225" s="1909"/>
      <c r="AQ225" s="1909"/>
      <c r="AR225" s="1909"/>
      <c r="AS225" s="1909"/>
      <c r="AT225" s="1909"/>
      <c r="AU225" s="1909"/>
      <c r="AV225" s="1909"/>
      <c r="AW225" s="1909"/>
      <c r="AX225" s="1909"/>
      <c r="AY225" s="190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2" t="s">
        <v>2225</v>
      </c>
      <c r="I227" s="1892"/>
      <c r="J227" s="1892"/>
      <c r="K227" s="1892"/>
      <c r="L227" s="1892"/>
      <c r="M227" s="1892"/>
      <c r="N227" s="1892"/>
      <c r="O227" s="1892"/>
      <c r="P227" s="1892"/>
      <c r="Q227" s="1892"/>
      <c r="R227" s="1892"/>
      <c r="S227" s="1892"/>
      <c r="T227" s="1892"/>
      <c r="U227" s="1892"/>
      <c r="V227" s="1892"/>
      <c r="W227" s="1892"/>
      <c r="X227" s="1892"/>
      <c r="Y227" s="1892"/>
      <c r="Z227" s="1892"/>
      <c r="AA227" s="1892"/>
      <c r="AB227" s="1892"/>
      <c r="AC227" s="1892"/>
      <c r="AD227" s="1892"/>
      <c r="AE227" s="1892"/>
      <c r="AF227" s="1892"/>
      <c r="AG227" s="1892"/>
      <c r="AH227" s="1892"/>
      <c r="AI227" s="1892"/>
      <c r="AJ227" s="1892"/>
      <c r="AK227" s="1892"/>
      <c r="AL227" s="1892"/>
      <c r="AM227" s="1892"/>
      <c r="AN227" s="1892"/>
      <c r="AO227" s="1892"/>
      <c r="AP227" s="1892"/>
      <c r="AQ227" s="1892"/>
      <c r="AR227" s="1892"/>
      <c r="AS227" s="1892"/>
      <c r="AT227" s="1892"/>
      <c r="AU227" s="1892"/>
      <c r="AV227" s="1892"/>
      <c r="AW227" s="1892"/>
      <c r="AX227" s="1892"/>
      <c r="AY227" s="1892"/>
      <c r="AZ227" s="1892"/>
      <c r="BA227" s="1208"/>
      <c r="BB227" s="1208"/>
      <c r="BC227" s="1208"/>
      <c r="BD227" s="1215"/>
      <c r="BE227" s="1215"/>
    </row>
    <row r="228" spans="1:57" ht="15.75" customHeight="1">
      <c r="A228" s="1208"/>
      <c r="B228" s="1207"/>
      <c r="C228" s="1208"/>
      <c r="D228" s="1208"/>
      <c r="E228" s="1208"/>
      <c r="F228" s="1208"/>
      <c r="G228" s="1208"/>
      <c r="H228" s="1892"/>
      <c r="I228" s="1892"/>
      <c r="J228" s="1892"/>
      <c r="K228" s="1892"/>
      <c r="L228" s="1892"/>
      <c r="M228" s="1892"/>
      <c r="N228" s="1892"/>
      <c r="O228" s="1892"/>
      <c r="P228" s="1892"/>
      <c r="Q228" s="1892"/>
      <c r="R228" s="1892"/>
      <c r="S228" s="1892"/>
      <c r="T228" s="1892"/>
      <c r="U228" s="1892"/>
      <c r="V228" s="1892"/>
      <c r="W228" s="1892"/>
      <c r="X228" s="1892"/>
      <c r="Y228" s="1892"/>
      <c r="Z228" s="1892"/>
      <c r="AA228" s="1892"/>
      <c r="AB228" s="1892"/>
      <c r="AC228" s="1892"/>
      <c r="AD228" s="1892"/>
      <c r="AE228" s="1892"/>
      <c r="AF228" s="1892"/>
      <c r="AG228" s="1892"/>
      <c r="AH228" s="1892"/>
      <c r="AI228" s="1892"/>
      <c r="AJ228" s="1892"/>
      <c r="AK228" s="1892"/>
      <c r="AL228" s="1892"/>
      <c r="AM228" s="1892"/>
      <c r="AN228" s="1892"/>
      <c r="AO228" s="1892"/>
      <c r="AP228" s="1892"/>
      <c r="AQ228" s="1892"/>
      <c r="AR228" s="1892"/>
      <c r="AS228" s="1892"/>
      <c r="AT228" s="1892"/>
      <c r="AU228" s="1892"/>
      <c r="AV228" s="1892"/>
      <c r="AW228" s="1892"/>
      <c r="AX228" s="1892"/>
      <c r="AY228" s="1892"/>
      <c r="AZ228" s="1892"/>
      <c r="BA228" s="1208"/>
      <c r="BB228" s="1208"/>
      <c r="BC228" s="1208"/>
      <c r="BD228" s="1215"/>
      <c r="BE228" s="1215"/>
    </row>
    <row r="229" spans="1:57" ht="15.75" customHeight="1">
      <c r="A229" s="1208"/>
      <c r="B229" s="1207"/>
      <c r="C229" s="1208"/>
      <c r="D229" s="1208"/>
      <c r="E229" s="1208"/>
      <c r="F229" s="1208"/>
      <c r="G229" s="1208"/>
      <c r="H229" s="1892"/>
      <c r="I229" s="1892"/>
      <c r="J229" s="1892"/>
      <c r="K229" s="1892"/>
      <c r="L229" s="1892"/>
      <c r="M229" s="1892"/>
      <c r="N229" s="1892"/>
      <c r="O229" s="1892"/>
      <c r="P229" s="1892"/>
      <c r="Q229" s="1892"/>
      <c r="R229" s="1892"/>
      <c r="S229" s="1892"/>
      <c r="T229" s="1892"/>
      <c r="U229" s="1892"/>
      <c r="V229" s="1892"/>
      <c r="W229" s="1892"/>
      <c r="X229" s="1892"/>
      <c r="Y229" s="1892"/>
      <c r="Z229" s="1892"/>
      <c r="AA229" s="1892"/>
      <c r="AB229" s="1892"/>
      <c r="AC229" s="1892"/>
      <c r="AD229" s="1892"/>
      <c r="AE229" s="1892"/>
      <c r="AF229" s="1892"/>
      <c r="AG229" s="1892"/>
      <c r="AH229" s="1892"/>
      <c r="AI229" s="1892"/>
      <c r="AJ229" s="1892"/>
      <c r="AK229" s="1892"/>
      <c r="AL229" s="1892"/>
      <c r="AM229" s="1892"/>
      <c r="AN229" s="1892"/>
      <c r="AO229" s="1892"/>
      <c r="AP229" s="1892"/>
      <c r="AQ229" s="1892"/>
      <c r="AR229" s="1892"/>
      <c r="AS229" s="1892"/>
      <c r="AT229" s="1892"/>
      <c r="AU229" s="1892"/>
      <c r="AV229" s="1892"/>
      <c r="AW229" s="1892"/>
      <c r="AX229" s="1892"/>
      <c r="AY229" s="1892"/>
      <c r="AZ229" s="1892"/>
      <c r="BA229" s="1208"/>
      <c r="BB229" s="1208"/>
      <c r="BC229" s="1208"/>
      <c r="BD229" s="1215"/>
      <c r="BE229" s="1215"/>
    </row>
    <row r="230" spans="1:57" ht="15.75" customHeight="1">
      <c r="A230" s="1208"/>
      <c r="B230" s="1207"/>
      <c r="C230" s="1208"/>
      <c r="D230" s="1208"/>
      <c r="E230" s="1208"/>
      <c r="F230" s="1208"/>
      <c r="G230" s="1208"/>
      <c r="H230" s="1892"/>
      <c r="I230" s="1892"/>
      <c r="J230" s="1892"/>
      <c r="K230" s="1892"/>
      <c r="L230" s="1892"/>
      <c r="M230" s="1892"/>
      <c r="N230" s="1892"/>
      <c r="O230" s="1892"/>
      <c r="P230" s="1892"/>
      <c r="Q230" s="1892"/>
      <c r="R230" s="1892"/>
      <c r="S230" s="1892"/>
      <c r="T230" s="1892"/>
      <c r="U230" s="1892"/>
      <c r="V230" s="1892"/>
      <c r="W230" s="1892"/>
      <c r="X230" s="1892"/>
      <c r="Y230" s="1892"/>
      <c r="Z230" s="1892"/>
      <c r="AA230" s="1892"/>
      <c r="AB230" s="1892"/>
      <c r="AC230" s="1892"/>
      <c r="AD230" s="1892"/>
      <c r="AE230" s="1892"/>
      <c r="AF230" s="1892"/>
      <c r="AG230" s="1892"/>
      <c r="AH230" s="1892"/>
      <c r="AI230" s="1892"/>
      <c r="AJ230" s="1892"/>
      <c r="AK230" s="1892"/>
      <c r="AL230" s="1892"/>
      <c r="AM230" s="1892"/>
      <c r="AN230" s="1892"/>
      <c r="AO230" s="1892"/>
      <c r="AP230" s="1892"/>
      <c r="AQ230" s="1892"/>
      <c r="AR230" s="1892"/>
      <c r="AS230" s="1892"/>
      <c r="AT230" s="1892"/>
      <c r="AU230" s="1892"/>
      <c r="AV230" s="1892"/>
      <c r="AW230" s="1892"/>
      <c r="AX230" s="1892"/>
      <c r="AY230" s="1892"/>
      <c r="AZ230" s="189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3" t="s">
        <v>2224</v>
      </c>
      <c r="I232" s="1893"/>
      <c r="J232" s="1893"/>
      <c r="K232" s="1893"/>
      <c r="L232" s="1893"/>
      <c r="M232" s="1893"/>
      <c r="N232" s="1893"/>
      <c r="O232" s="1893"/>
      <c r="P232" s="1893"/>
      <c r="Q232" s="1893"/>
      <c r="R232" s="1893"/>
      <c r="S232" s="1893"/>
      <c r="T232" s="1893"/>
      <c r="U232" s="1893"/>
      <c r="V232" s="1893"/>
      <c r="W232" s="1893"/>
      <c r="X232" s="1893"/>
      <c r="Y232" s="1893"/>
      <c r="Z232" s="1893"/>
      <c r="AA232" s="1893"/>
      <c r="AB232" s="1893"/>
      <c r="AC232" s="1893"/>
      <c r="AD232" s="1893"/>
      <c r="AE232" s="1893"/>
      <c r="AF232" s="1893"/>
      <c r="AG232" s="1893"/>
      <c r="AH232" s="1893"/>
      <c r="AI232" s="1893"/>
      <c r="AJ232" s="1893"/>
      <c r="AK232" s="1893"/>
      <c r="AL232" s="1893"/>
      <c r="AM232" s="1893"/>
      <c r="AN232" s="1893"/>
      <c r="AO232" s="1893"/>
      <c r="AP232" s="1893"/>
      <c r="AQ232" s="1893"/>
      <c r="AR232" s="1893"/>
      <c r="AS232" s="1893"/>
      <c r="AT232" s="1893"/>
      <c r="AU232" s="1893"/>
      <c r="AV232" s="189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3" t="s">
        <v>2223</v>
      </c>
      <c r="I234" s="1883"/>
      <c r="J234" s="1883"/>
      <c r="K234" s="1883"/>
      <c r="L234" s="1259"/>
      <c r="M234" s="1259"/>
      <c r="N234" s="1259"/>
      <c r="O234" s="1259"/>
      <c r="P234" s="1259"/>
      <c r="Q234" s="1259"/>
      <c r="R234" s="1259"/>
      <c r="S234" s="1894"/>
      <c r="T234" s="1895"/>
      <c r="U234" s="1895"/>
      <c r="V234" s="1895"/>
      <c r="W234" s="1895"/>
      <c r="X234" s="1895"/>
      <c r="Y234" s="1895"/>
      <c r="Z234" s="1895"/>
      <c r="AA234" s="1895"/>
      <c r="AB234" s="1895"/>
      <c r="AC234" s="1895"/>
      <c r="AD234" s="1895"/>
      <c r="AE234" s="1895"/>
      <c r="AF234" s="1895"/>
      <c r="AG234" s="1895"/>
      <c r="AH234" s="1895"/>
      <c r="AI234" s="1895"/>
      <c r="AJ234" s="189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3" t="s">
        <v>2222</v>
      </c>
      <c r="I236" s="1883"/>
      <c r="J236" s="1883"/>
      <c r="K236" s="1261"/>
      <c r="L236" s="1259"/>
      <c r="M236" s="1259"/>
      <c r="N236" s="1259"/>
      <c r="O236" s="1259"/>
      <c r="P236" s="1259"/>
      <c r="Q236" s="1259"/>
      <c r="R236" s="1259"/>
      <c r="S236" s="1884"/>
      <c r="T236" s="1885"/>
      <c r="U236" s="1885"/>
      <c r="V236" s="1885"/>
      <c r="W236" s="1885"/>
      <c r="X236" s="1885"/>
      <c r="Y236" s="1885"/>
      <c r="Z236" s="1885"/>
      <c r="AA236" s="1885"/>
      <c r="AB236" s="1885"/>
      <c r="AC236" s="1885"/>
      <c r="AD236" s="1885"/>
      <c r="AE236" s="1885"/>
      <c r="AF236" s="1885"/>
      <c r="AG236" s="1885"/>
      <c r="AH236" s="1885"/>
      <c r="AI236" s="1885"/>
      <c r="AJ236" s="188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3" t="s">
        <v>439</v>
      </c>
      <c r="I238" s="1883"/>
      <c r="J238" s="1261"/>
      <c r="K238" s="1261"/>
      <c r="L238" s="1259"/>
      <c r="M238" s="1259"/>
      <c r="N238" s="1259"/>
      <c r="O238" s="1259"/>
      <c r="P238" s="1259"/>
      <c r="Q238" s="1259"/>
      <c r="R238" s="1259"/>
      <c r="S238" s="1884"/>
      <c r="T238" s="1885"/>
      <c r="U238" s="1885"/>
      <c r="V238" s="1885"/>
      <c r="W238" s="1885"/>
      <c r="X238" s="1885"/>
      <c r="Y238" s="1885"/>
      <c r="Z238" s="1885"/>
      <c r="AA238" s="1885"/>
      <c r="AB238" s="1885"/>
      <c r="AC238" s="1885"/>
      <c r="AD238" s="1885"/>
      <c r="AE238" s="1885"/>
      <c r="AF238" s="1885"/>
      <c r="AG238" s="1885"/>
      <c r="AH238" s="1885"/>
      <c r="AI238" s="1885"/>
      <c r="AJ238" s="188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7" t="s">
        <v>2221</v>
      </c>
      <c r="I240" s="1887"/>
      <c r="J240" s="1887"/>
      <c r="K240" s="1887"/>
      <c r="L240" s="1887"/>
      <c r="M240" s="1887"/>
      <c r="N240" s="1887"/>
      <c r="O240" s="1887"/>
      <c r="P240" s="1259"/>
      <c r="Q240" s="1259"/>
      <c r="R240" s="1259"/>
      <c r="S240" s="1884"/>
      <c r="T240" s="1885"/>
      <c r="U240" s="1885"/>
      <c r="V240" s="1885"/>
      <c r="W240" s="1885"/>
      <c r="X240" s="1885"/>
      <c r="Y240" s="1885"/>
      <c r="Z240" s="1885"/>
      <c r="AA240" s="1885"/>
      <c r="AB240" s="1885"/>
      <c r="AC240" s="1885"/>
      <c r="AD240" s="1885"/>
      <c r="AE240" s="1885"/>
      <c r="AF240" s="1885"/>
      <c r="AG240" s="1885"/>
      <c r="AH240" s="1885"/>
      <c r="AI240" s="1885"/>
      <c r="AJ240" s="188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8" t="s">
        <v>2220</v>
      </c>
      <c r="I242" s="1888"/>
      <c r="J242" s="1259"/>
      <c r="K242" s="1259"/>
      <c r="L242" s="1259"/>
      <c r="M242" s="1259"/>
      <c r="N242" s="1259"/>
      <c r="O242" s="1259"/>
      <c r="P242" s="1259"/>
      <c r="Q242" s="1259"/>
      <c r="R242" s="1259"/>
      <c r="S242" s="1889"/>
      <c r="T242" s="1890"/>
      <c r="U242" s="1890"/>
      <c r="V242" s="1890"/>
      <c r="W242" s="1890"/>
      <c r="X242" s="1890"/>
      <c r="Y242" s="1890"/>
      <c r="Z242" s="1890"/>
      <c r="AA242" s="1890"/>
      <c r="AB242" s="1890"/>
      <c r="AC242" s="1890"/>
      <c r="AD242" s="1890"/>
      <c r="AE242" s="1890"/>
      <c r="AF242" s="1890"/>
      <c r="AG242" s="1890"/>
      <c r="AH242" s="1890"/>
      <c r="AI242" s="1890"/>
      <c r="AJ242" s="189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7" t="s">
        <v>1278</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2.95"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2.95"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2.95"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2.95"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2.95" customHeight="1">
      <c r="B11" s="2338" t="s">
        <v>373</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104399172.54710472</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2.95" customHeight="1">
      <c r="B12" s="2353" t="s">
        <v>495</v>
      </c>
      <c r="C12" s="1823"/>
      <c r="D12" s="1823"/>
      <c r="E12" s="1823"/>
      <c r="F12" s="1823"/>
      <c r="G12" s="1823"/>
      <c r="H12" s="1823"/>
      <c r="I12" s="1823"/>
      <c r="J12" s="1823"/>
      <c r="K12" s="1823"/>
      <c r="L12" s="1823"/>
      <c r="M12" s="1823"/>
      <c r="N12" s="1823"/>
      <c r="O12" s="1823"/>
      <c r="P12" s="1823"/>
      <c r="Q12" s="1823"/>
      <c r="R12" s="1823"/>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2.95" customHeight="1">
      <c r="B13" s="435"/>
      <c r="C13" s="2355" t="s">
        <v>496</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2.95" customHeight="1">
      <c r="B14" s="435"/>
      <c r="C14" s="2355" t="s">
        <v>497</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2.95" customHeight="1">
      <c r="B15" s="435"/>
      <c r="C15" s="2355" t="s">
        <v>498</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2.95" customHeight="1">
      <c r="B16" s="435"/>
      <c r="C16" s="2355" t="s">
        <v>803</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2.95" customHeight="1">
      <c r="B17" s="435"/>
      <c r="C17" s="2355" t="s">
        <v>499</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2.95" customHeight="1">
      <c r="A18"/>
      <c r="B18" s="1144"/>
      <c r="C18" s="1738" t="s">
        <v>958</v>
      </c>
      <c r="D18" s="1738"/>
      <c r="E18" s="1738"/>
      <c r="F18" s="1738"/>
      <c r="G18" s="1738"/>
      <c r="H18" s="1738"/>
      <c r="I18" s="1738"/>
      <c r="J18" s="1738"/>
      <c r="K18" s="1738"/>
      <c r="L18" s="1738"/>
      <c r="M18" s="1738"/>
      <c r="N18" s="1738"/>
      <c r="O18" s="1738"/>
      <c r="P18" s="1738"/>
      <c r="Q18" s="1738"/>
      <c r="R18" s="1738"/>
      <c r="S18" s="1739"/>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2.95" customHeight="1">
      <c r="B19" s="1144"/>
      <c r="C19" s="1738" t="s">
        <v>958</v>
      </c>
      <c r="D19" s="1738"/>
      <c r="E19" s="1738"/>
      <c r="F19" s="1738"/>
      <c r="G19" s="1738"/>
      <c r="H19" s="1738"/>
      <c r="I19" s="1738"/>
      <c r="J19" s="1738"/>
      <c r="K19" s="1738"/>
      <c r="L19" s="1738"/>
      <c r="M19" s="1738"/>
      <c r="N19" s="1738"/>
      <c r="O19" s="1738"/>
      <c r="P19" s="1738"/>
      <c r="Q19" s="1738"/>
      <c r="R19" s="1738"/>
      <c r="S19" s="1739"/>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2.95" customHeight="1">
      <c r="B20" s="2338" t="s">
        <v>500</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2.95" customHeight="1">
      <c r="B21" s="2338" t="s">
        <v>1261</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2.95" customHeight="1">
      <c r="B22" s="2338" t="s">
        <v>501</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38" t="s">
        <v>502</v>
      </c>
      <c r="C23" s="2339"/>
      <c r="D23" s="2339"/>
      <c r="E23" s="2339"/>
      <c r="F23" s="2339"/>
      <c r="G23" s="2339"/>
      <c r="H23" s="2339"/>
      <c r="I23" s="2339"/>
      <c r="J23" s="2339"/>
      <c r="K23" s="2339"/>
      <c r="L23" s="2339"/>
      <c r="M23" s="2339"/>
      <c r="N23" s="2339"/>
      <c r="O23" s="2339"/>
      <c r="P23" s="2339"/>
      <c r="Q23" s="2339"/>
      <c r="R23" s="2339"/>
      <c r="S23" s="2340"/>
      <c r="T23" s="2331">
        <f>T11+T22</f>
        <v>104399172.54710472</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2.95" customHeight="1">
      <c r="B24" s="2338" t="s">
        <v>959</v>
      </c>
      <c r="C24" s="2339"/>
      <c r="D24" s="2339"/>
      <c r="E24" s="2339"/>
      <c r="F24" s="2339"/>
      <c r="G24" s="2339"/>
      <c r="H24" s="2339"/>
      <c r="I24" s="2339"/>
      <c r="J24" s="2339"/>
      <c r="K24" s="2339"/>
      <c r="L24" s="2339"/>
      <c r="M24" s="2339"/>
      <c r="N24" s="2339"/>
      <c r="O24" s="2339"/>
      <c r="P24" s="2339"/>
      <c r="Q24" s="2339"/>
      <c r="R24" s="2339"/>
      <c r="S24" s="2340"/>
      <c r="T24" s="2333">
        <f>Application!AJ1062</f>
        <v>188315712</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2.95" customHeight="1">
      <c r="B25" s="2342" t="s">
        <v>1262</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38" t="s">
        <v>503</v>
      </c>
      <c r="C26" s="2339"/>
      <c r="D26" s="2339"/>
      <c r="E26" s="2339"/>
      <c r="F26" s="2339"/>
      <c r="G26" s="2339"/>
      <c r="H26" s="2339"/>
      <c r="I26" s="2339"/>
      <c r="J26" s="2339"/>
      <c r="K26" s="2339"/>
      <c r="L26" s="2339"/>
      <c r="M26" s="2339"/>
      <c r="N26" s="2339"/>
      <c r="O26" s="2339"/>
      <c r="P26" s="2339"/>
      <c r="Q26" s="2339"/>
      <c r="R26" s="2339"/>
      <c r="S26" s="2340"/>
      <c r="T26" s="2331">
        <f>T23*T25</f>
        <v>135718924.31123614</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2.95" customHeight="1">
      <c r="A27" s="410"/>
      <c r="B27" s="2345" t="s">
        <v>424</v>
      </c>
      <c r="C27" s="2346"/>
      <c r="D27" s="2346"/>
      <c r="E27" s="2346"/>
      <c r="F27" s="2346"/>
      <c r="G27" s="2346"/>
      <c r="H27" s="2346"/>
      <c r="I27" s="2346"/>
      <c r="J27" s="2346"/>
      <c r="K27" s="2346"/>
      <c r="L27" s="2346"/>
      <c r="M27" s="2346"/>
      <c r="N27" s="2346"/>
      <c r="O27" s="2346"/>
      <c r="P27" s="2346"/>
      <c r="Q27" s="2346"/>
      <c r="R27" s="2346"/>
      <c r="S27" s="2347"/>
      <c r="T27" s="2351">
        <f>Application!$AG$454</f>
        <v>1</v>
      </c>
      <c r="U27" s="2352"/>
      <c r="V27" s="2352"/>
      <c r="W27" s="2352"/>
      <c r="X27" s="2352"/>
      <c r="Y27" s="2351">
        <f>Application!$AG$454</f>
        <v>1</v>
      </c>
      <c r="Z27" s="2352"/>
      <c r="AA27" s="2352"/>
      <c r="AB27" s="2352"/>
      <c r="AC27" s="2352"/>
      <c r="AD27" s="2351">
        <f>Application!$AG$454</f>
        <v>1</v>
      </c>
      <c r="AE27" s="2352"/>
      <c r="AF27" s="2352"/>
      <c r="AG27" s="2352"/>
      <c r="AH27" s="2352"/>
      <c r="AI27" s="2351">
        <f>Application!$AG$454</f>
        <v>1</v>
      </c>
      <c r="AJ27" s="2352"/>
      <c r="AK27" s="2352"/>
      <c r="AL27" s="2352"/>
      <c r="AM27" s="2352"/>
    </row>
    <row r="28" spans="1:40" ht="12.95" customHeight="1">
      <c r="A28" s="404"/>
      <c r="B28" s="2338" t="s">
        <v>504</v>
      </c>
      <c r="C28" s="2339"/>
      <c r="D28" s="2339"/>
      <c r="E28" s="2339"/>
      <c r="F28" s="2339"/>
      <c r="G28" s="2339"/>
      <c r="H28" s="2339"/>
      <c r="I28" s="2339"/>
      <c r="J28" s="2339"/>
      <c r="K28" s="2339"/>
      <c r="L28" s="2339"/>
      <c r="M28" s="2339"/>
      <c r="N28" s="2339"/>
      <c r="O28" s="2339"/>
      <c r="P28" s="2339"/>
      <c r="Q28" s="2339"/>
      <c r="R28" s="2339"/>
      <c r="S28" s="2340"/>
      <c r="T28" s="2331">
        <f>IF(ISERROR((T26*T27)),0,(T26*T27))</f>
        <v>135718924.31123614</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2.95" customHeight="1">
      <c r="B29" s="2338" t="s">
        <v>521</v>
      </c>
      <c r="C29" s="2339"/>
      <c r="D29" s="2339"/>
      <c r="E29" s="2339"/>
      <c r="F29" s="2339"/>
      <c r="G29" s="2339"/>
      <c r="H29" s="2339"/>
      <c r="I29" s="2339"/>
      <c r="J29" s="2339"/>
      <c r="K29" s="2339"/>
      <c r="L29" s="2339"/>
      <c r="M29" s="2339"/>
      <c r="N29" s="2339"/>
      <c r="O29" s="2339"/>
      <c r="P29" s="2339"/>
      <c r="Q29" s="2339"/>
      <c r="R29" s="2339"/>
      <c r="S29" s="2340"/>
      <c r="T29" s="2333">
        <f>T28+Y28+AD28+AI28</f>
        <v>135718924.31123614</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2.95" customHeight="1">
      <c r="B30" s="2341" t="s">
        <v>1264</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2.95" customHeight="1">
      <c r="B31" s="2341" t="s">
        <v>1263</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2.95" customHeight="1">
      <c r="B32" s="434"/>
      <c r="C32" s="511" t="s">
        <v>385</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574</v>
      </c>
      <c r="C34" s="404" t="s">
        <v>566</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1152</v>
      </c>
      <c r="Z35" s="2359"/>
      <c r="AA35" s="2359"/>
      <c r="AB35" s="2359"/>
      <c r="AC35" s="2359"/>
      <c r="AD35" s="2379" t="s">
        <v>367</v>
      </c>
      <c r="AE35" s="2379"/>
      <c r="AF35" s="2379"/>
      <c r="AG35" s="2379"/>
      <c r="AH35" s="2379"/>
    </row>
    <row r="36" spans="1:76" ht="12.95" customHeight="1">
      <c r="B36" s="407"/>
      <c r="X36" s="412"/>
      <c r="Y36" s="2359"/>
      <c r="Z36" s="2359"/>
      <c r="AA36" s="2359"/>
      <c r="AB36" s="2359"/>
      <c r="AC36" s="2359"/>
      <c r="AD36" s="2379"/>
      <c r="AE36" s="2379"/>
      <c r="AF36" s="2379"/>
      <c r="AG36" s="2379"/>
      <c r="AH36" s="237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2.95" customHeight="1">
      <c r="A38" s="404"/>
      <c r="B38" s="2338" t="s">
        <v>504</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135718924.31123614</v>
      </c>
      <c r="Z38" s="2332"/>
      <c r="AA38" s="2332"/>
      <c r="AB38" s="2332"/>
      <c r="AC38" s="2332"/>
      <c r="AD38" s="2332">
        <f>IF(T24&gt;=(T23+Y23+AD23+AI23),AD28+AI28,0)</f>
        <v>0</v>
      </c>
      <c r="AE38" s="2332"/>
      <c r="AF38" s="2332"/>
      <c r="AG38" s="2332"/>
      <c r="AH38" s="2332"/>
    </row>
    <row r="39" spans="1:76" ht="12.95" customHeight="1">
      <c r="B39" s="2338" t="s">
        <v>1678</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2.95" customHeight="1">
      <c r="A40" s="404"/>
      <c r="B40" s="2338" t="s">
        <v>640</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5428757</v>
      </c>
      <c r="Z40" s="2332"/>
      <c r="AA40" s="2332"/>
      <c r="AB40" s="2332"/>
      <c r="AC40" s="2332"/>
      <c r="AD40" s="2331">
        <f>ROUND(AD38*AD39,0)</f>
        <v>0</v>
      </c>
      <c r="AE40" s="2332"/>
      <c r="AF40" s="2332"/>
      <c r="AG40" s="2332"/>
      <c r="AH40" s="2332"/>
    </row>
    <row r="41" spans="1:76" ht="12.95" customHeight="1">
      <c r="B41" s="2338" t="s">
        <v>641</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5428757</v>
      </c>
      <c r="Z41" s="2334"/>
      <c r="AA41" s="2334"/>
      <c r="AB41" s="2334"/>
      <c r="AC41" s="2334"/>
      <c r="AD41" s="2334"/>
      <c r="AE41" s="2334"/>
      <c r="AF41" s="2334"/>
      <c r="AG41" s="2334"/>
      <c r="AH41" s="2331"/>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6" t="s">
        <v>1274</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2.95" customHeight="1" thickTop="1"/>
    <row r="46" spans="1:76" ht="12.95" customHeight="1">
      <c r="A46" s="404" t="s">
        <v>584</v>
      </c>
      <c r="C46" s="404" t="s">
        <v>281</v>
      </c>
    </row>
    <row r="47" spans="1:76" ht="12.95" customHeight="1">
      <c r="D47" s="404" t="s">
        <v>282</v>
      </c>
      <c r="AB47" s="2348">
        <f>'Sources and Uses Budget'!B105-MAX(IF('Sources and Uses Budget'!B15="",0,'Sources and Uses Budget'!B15),IF(Application!AG403="",0,Application!AG403))</f>
        <v>117426075</v>
      </c>
      <c r="AC47" s="2349"/>
      <c r="AD47" s="2349"/>
      <c r="AE47" s="2349"/>
      <c r="AF47" s="2350"/>
    </row>
    <row r="48" spans="1:76" ht="12.95" customHeight="1">
      <c r="D48" s="404" t="s">
        <v>21</v>
      </c>
      <c r="AB48" s="2348">
        <f>Application!AO647-MAX(IF('Sources and Uses Budget'!B15="",0,'Sources and Uses Budget'!B15),IF(Application!AG403="",0,Application!AG403))</f>
        <v>60361641</v>
      </c>
      <c r="AC48" s="2349"/>
      <c r="AD48" s="2349"/>
      <c r="AE48" s="2349"/>
      <c r="AF48" s="2350"/>
    </row>
    <row r="49" spans="1:76" ht="12.95" customHeight="1">
      <c r="D49" s="404" t="s">
        <v>91</v>
      </c>
      <c r="AB49" s="2348">
        <f>AB47-AB48</f>
        <v>57064434</v>
      </c>
      <c r="AC49" s="2349"/>
      <c r="AD49" s="2349"/>
      <c r="AE49" s="2349"/>
      <c r="AF49" s="2350"/>
    </row>
    <row r="50" spans="1:76" ht="12.95" customHeight="1">
      <c r="D50" s="404" t="s">
        <v>679</v>
      </c>
      <c r="AA50" s="415"/>
      <c r="AB50" s="2375">
        <v>0.84999998999999993</v>
      </c>
      <c r="AC50" s="2376"/>
      <c r="AD50" s="2376"/>
      <c r="AE50" s="2376"/>
      <c r="AF50" s="2377"/>
    </row>
    <row r="51" spans="1:76" s="417" customFormat="1" ht="12.95" customHeight="1">
      <c r="A51" s="402"/>
      <c r="B51" s="402"/>
      <c r="C51" s="402"/>
      <c r="D51" s="402"/>
      <c r="E51" s="2378" t="s">
        <v>2533</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8">
        <f>ROUND(IF(ISERROR((AB49/AB50)),0,(AB49/AB50)),0)</f>
        <v>67134629</v>
      </c>
      <c r="AC54" s="2349"/>
      <c r="AD54" s="2349"/>
      <c r="AE54" s="2349"/>
      <c r="AF54" s="2350"/>
    </row>
    <row r="55" spans="1:76" ht="12.95" customHeight="1">
      <c r="D55" s="404" t="s">
        <v>332</v>
      </c>
      <c r="AB55" s="2348">
        <f>(AB54/10)</f>
        <v>6713462.9000000004</v>
      </c>
      <c r="AC55" s="2349"/>
      <c r="AD55" s="2349"/>
      <c r="AE55" s="2349"/>
      <c r="AF55" s="2350"/>
    </row>
    <row r="56" spans="1:76" ht="12.95" customHeight="1">
      <c r="D56" s="404" t="s">
        <v>754</v>
      </c>
      <c r="AB56" s="2348">
        <f>ROUND((IF((Y41&lt;AB55),Y41,AB55)),0)</f>
        <v>5428757</v>
      </c>
      <c r="AC56" s="2349"/>
      <c r="AD56" s="2349"/>
      <c r="AE56" s="2349"/>
      <c r="AF56" s="2350"/>
    </row>
    <row r="57" spans="1:76" ht="12.95" customHeight="1">
      <c r="D57" s="404" t="s">
        <v>753</v>
      </c>
      <c r="AB57" s="2348">
        <f>ROUND((10*AB56*AB50),0)</f>
        <v>46144434</v>
      </c>
      <c r="AC57" s="2349"/>
      <c r="AD57" s="2349"/>
      <c r="AE57" s="2349"/>
      <c r="AF57" s="2350"/>
    </row>
    <row r="58" spans="1:76" ht="12.95" customHeight="1">
      <c r="D58" s="404"/>
      <c r="AB58" s="423"/>
      <c r="AC58" s="423"/>
      <c r="AD58" s="423"/>
      <c r="AE58" s="423"/>
      <c r="AF58" s="423"/>
    </row>
    <row r="59" spans="1:76" ht="12.95" customHeight="1">
      <c r="D59" s="404" t="s">
        <v>752</v>
      </c>
      <c r="AB59" s="2371">
        <f>AB49-AB57</f>
        <v>10920000</v>
      </c>
      <c r="AC59" s="2371"/>
      <c r="AD59" s="2371"/>
      <c r="AE59" s="2371"/>
      <c r="AF59" s="2371"/>
    </row>
    <row r="60" spans="1:76" ht="12.95" customHeight="1">
      <c r="D60" s="404"/>
      <c r="AB60" s="423"/>
      <c r="AC60" s="423"/>
      <c r="AD60" s="423"/>
      <c r="AE60" s="423"/>
      <c r="AF60" s="423"/>
    </row>
    <row r="61" spans="1:76" s="204" customFormat="1" ht="12.95"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2.95" customHeight="1" thickTop="1"/>
    <row r="63" spans="1:76" ht="12.95" customHeight="1">
      <c r="A63" s="404" t="s">
        <v>587</v>
      </c>
      <c r="C63" s="205" t="s">
        <v>1246</v>
      </c>
      <c r="Y63" s="2372" t="s">
        <v>982</v>
      </c>
      <c r="Z63" s="2372"/>
      <c r="AA63" s="2372"/>
      <c r="AB63" s="2372"/>
      <c r="AC63" s="2372"/>
      <c r="AD63" s="2372" t="s">
        <v>367</v>
      </c>
      <c r="AE63" s="2372"/>
      <c r="AF63" s="2372"/>
      <c r="AG63" s="2372"/>
      <c r="AH63" s="2372"/>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104399172.54710472</v>
      </c>
      <c r="Z64" s="2373"/>
      <c r="AA64" s="2373"/>
      <c r="AB64" s="2373"/>
      <c r="AC64" s="2374"/>
      <c r="AD64" s="2333">
        <f>IF(AND(OR(Application!D211="At-Risk",Application!D211="At-Risk and Special Needs"),Application!M367="yes"),AD28+AI28,0)</f>
        <v>0</v>
      </c>
      <c r="AE64" s="2373"/>
      <c r="AF64" s="2373"/>
      <c r="AG64" s="2373"/>
      <c r="AH64" s="2374"/>
    </row>
    <row r="65" spans="1:37" ht="12.95"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6">
        <f>IF(OR(Application!Z205="State Farmworker Credit",Application!Z205="$500M (Farmworker Housing)"),0.75,IF(Application!Z205="15% set-aside",0.13,IF(Application!Z205="15% set-aside with qualifying low value rehab",0.95,IF(Application!Z205="$500M",0.3,0))))</f>
        <v>0.3</v>
      </c>
      <c r="Z67" s="2386"/>
      <c r="AA67" s="2386"/>
      <c r="AB67" s="2386"/>
      <c r="AC67" s="2386"/>
      <c r="AD67" s="2386">
        <f>IF(Application!Z205="15% set-aside with qualifying low value rehab", 0.95,IF(OR(Application!D211="At-Risk",'Points System'!B26="Yes"),0.13,0))</f>
        <v>0</v>
      </c>
      <c r="AE67" s="2386"/>
      <c r="AF67" s="2386"/>
      <c r="AG67" s="2386"/>
      <c r="AH67" s="2386"/>
    </row>
    <row r="68" spans="1:37" ht="12.95" customHeight="1">
      <c r="C68" s="404"/>
      <c r="D68" s="205" t="s">
        <v>2176</v>
      </c>
      <c r="Y68" s="2332">
        <f>IF(AND(T25=1.3,OR(Y67=0.13,Y67=0.95),NOT(Application!T212&gt;=50%)),0,ROUND(Y64*Y67,0))</f>
        <v>31319752</v>
      </c>
      <c r="Z68" s="2387"/>
      <c r="AA68" s="2387"/>
      <c r="AB68" s="2387"/>
      <c r="AC68" s="2387"/>
      <c r="AD68" s="2332">
        <f>IF(AND(T25=1.3,AD67&gt;0,NOT(Application!T212&gt;=50%)),0,ROUND(AD64*AD67,0))</f>
        <v>0</v>
      </c>
      <c r="AE68" s="2387"/>
      <c r="AF68" s="2387"/>
      <c r="AG68" s="2387"/>
      <c r="AH68" s="2387"/>
      <c r="AK68" s="1192"/>
    </row>
    <row r="69" spans="1:37" ht="12.95" customHeight="1">
      <c r="C69" s="404"/>
      <c r="D69" s="205" t="s">
        <v>2177</v>
      </c>
      <c r="Y69" s="2332">
        <f>IF(OR(Application!Z205="State Farmworker Credit",Application!Z205="$500M (Farmworker Housing)"),Y68+AD68,MIN(Y68+AD68,200000*(Application!G761+Application!O785)))</f>
        <v>31319752</v>
      </c>
      <c r="Z69" s="2332"/>
      <c r="AA69" s="2332"/>
      <c r="AB69" s="2332"/>
      <c r="AC69" s="2332"/>
      <c r="AD69" s="2332"/>
      <c r="AE69" s="2332"/>
      <c r="AF69" s="2332"/>
      <c r="AG69" s="2332"/>
      <c r="AH69" s="2332"/>
    </row>
    <row r="70" spans="1:37" ht="12.95" customHeight="1">
      <c r="C70" s="404"/>
      <c r="E70" s="404"/>
      <c r="AB70" s="422"/>
      <c r="AC70" s="422"/>
      <c r="AD70" s="422"/>
      <c r="AE70" s="422"/>
      <c r="AF70" s="422"/>
    </row>
    <row r="71" spans="1:37" ht="12.95" customHeight="1">
      <c r="A71" s="404" t="s">
        <v>588</v>
      </c>
      <c r="C71" s="205" t="s">
        <v>283</v>
      </c>
    </row>
    <row r="72" spans="1:37" ht="12.95" customHeight="1">
      <c r="A72" s="404"/>
      <c r="C72" s="404"/>
      <c r="D72" s="205" t="s">
        <v>1248</v>
      </c>
      <c r="AB72" s="2375">
        <v>0.84</v>
      </c>
      <c r="AC72" s="2376"/>
      <c r="AD72" s="2376"/>
      <c r="AE72" s="2376"/>
      <c r="AF72" s="2377"/>
    </row>
    <row r="73" spans="1:37" ht="12.95" customHeight="1">
      <c r="A73" s="404"/>
      <c r="C73" s="404"/>
      <c r="D73" s="404"/>
      <c r="E73" s="2388" t="s">
        <v>1249</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7" ht="12.95"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7" ht="12.95"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81">
        <f>ROUND(IF(ISERROR((AB59/AB72)),0,(AB59/AB72)),0)</f>
        <v>13000000</v>
      </c>
      <c r="AC77" s="2381"/>
      <c r="AD77" s="2381"/>
      <c r="AE77" s="2381"/>
      <c r="AF77" s="2381"/>
    </row>
    <row r="78" spans="1:37" ht="12.95" customHeight="1">
      <c r="C78" s="404"/>
      <c r="D78" s="205" t="s">
        <v>1251</v>
      </c>
      <c r="AB78" s="2382">
        <f>ROUNDUP(MIN(Y69,AB77),0)</f>
        <v>13000000</v>
      </c>
      <c r="AC78" s="2383"/>
      <c r="AD78" s="2383"/>
      <c r="AE78" s="2383"/>
      <c r="AF78" s="2384"/>
    </row>
    <row r="79" spans="1:37" ht="12.95" customHeight="1">
      <c r="C79" s="404"/>
      <c r="D79" s="205" t="s">
        <v>1252</v>
      </c>
      <c r="AB79" s="2385">
        <f>AB78*AB72</f>
        <v>10920000</v>
      </c>
      <c r="AC79" s="2385"/>
      <c r="AD79" s="2385"/>
      <c r="AE79" s="2385"/>
      <c r="AF79" s="2385"/>
    </row>
    <row r="80" spans="1:37" ht="12.95" customHeight="1">
      <c r="C80" s="404"/>
      <c r="D80" s="404"/>
      <c r="AB80" s="425"/>
      <c r="AC80" s="425"/>
      <c r="AD80" s="425"/>
      <c r="AE80" s="425"/>
      <c r="AF80" s="425"/>
    </row>
    <row r="81" spans="1:78" ht="12.95" customHeight="1">
      <c r="D81" s="404" t="s">
        <v>752</v>
      </c>
      <c r="AB81" s="2371">
        <f>AB49-(AB57+AB79)</f>
        <v>0</v>
      </c>
      <c r="AC81" s="2371"/>
      <c r="AD81" s="2371"/>
      <c r="AE81" s="2371"/>
      <c r="AF81" s="2371"/>
    </row>
    <row r="82" spans="1:78" ht="12.95" customHeight="1">
      <c r="F82" s="522"/>
      <c r="J82" s="522" t="str">
        <f>IF(AB81&gt;0,"FUNDING GAP MUST NOT EXCEED ZERO","")</f>
        <v/>
      </c>
    </row>
    <row r="83" spans="1:78" ht="12.95" customHeight="1">
      <c r="D83" s="523"/>
    </row>
    <row r="84" spans="1:78" ht="12.95"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2.95" customHeight="1" thickTop="1"/>
    <row r="86" spans="1:78" ht="12.95" hidden="1" customHeight="1">
      <c r="A86" s="404"/>
      <c r="C86" s="205"/>
    </row>
    <row r="87" spans="1:78" ht="12.95" hidden="1" customHeight="1">
      <c r="D87" s="205"/>
      <c r="AB87" s="2337"/>
      <c r="AC87" s="2337"/>
      <c r="AD87" s="2337"/>
      <c r="AE87" s="2337"/>
      <c r="AF87" s="2337"/>
    </row>
    <row r="88" spans="1:78" ht="12.95" hidden="1"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85" zoomScaleNormal="85"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0" t="s">
        <v>1297</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1"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9" t="s">
        <v>1301</v>
      </c>
      <c r="AF7" s="2449"/>
      <c r="AG7" s="2449"/>
      <c r="AH7" s="2449"/>
      <c r="AI7" s="2449"/>
      <c r="AJ7" s="2449"/>
      <c r="AK7" s="2449"/>
      <c r="AL7" s="540"/>
      <c r="AM7" s="540"/>
      <c r="AN7" s="535"/>
    </row>
    <row r="8" spans="1:41" s="536" customFormat="1" ht="12.75" customHeight="1">
      <c r="A8" s="538"/>
      <c r="B8" s="539" t="s">
        <v>2635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1" t="s">
        <v>589</v>
      </c>
      <c r="C12" s="2591"/>
      <c r="D12" s="540"/>
      <c r="E12" s="2452" t="s">
        <v>2547</v>
      </c>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4"/>
      <c r="AK12" s="540"/>
      <c r="AL12" s="540"/>
      <c r="AM12" s="540"/>
      <c r="AN12" s="535"/>
      <c r="AO12" s="557"/>
    </row>
    <row r="13" spans="1:41" s="536" customFormat="1" ht="12.75" customHeight="1">
      <c r="A13" s="540"/>
      <c r="D13" s="546"/>
      <c r="E13" s="2455"/>
      <c r="F13" s="2456"/>
      <c r="G13" s="2456"/>
      <c r="H13" s="2456"/>
      <c r="I13" s="2456"/>
      <c r="J13" s="2456"/>
      <c r="K13" s="2456"/>
      <c r="L13" s="2456"/>
      <c r="M13" s="2456"/>
      <c r="N13" s="2456"/>
      <c r="O13" s="2456"/>
      <c r="P13" s="2456"/>
      <c r="Q13" s="2456"/>
      <c r="R13" s="2456"/>
      <c r="S13" s="2456"/>
      <c r="T13" s="2456"/>
      <c r="U13" s="2456"/>
      <c r="V13" s="2456"/>
      <c r="W13" s="2456"/>
      <c r="X13" s="2456"/>
      <c r="Y13" s="2456"/>
      <c r="Z13" s="2456"/>
      <c r="AA13" s="2456"/>
      <c r="AB13" s="2456"/>
      <c r="AC13" s="2456"/>
      <c r="AD13" s="2456"/>
      <c r="AE13" s="2456"/>
      <c r="AF13" s="2456"/>
      <c r="AG13" s="2456"/>
      <c r="AH13" s="2456"/>
      <c r="AI13" s="2456"/>
      <c r="AJ13" s="2457"/>
      <c r="AK13" s="540"/>
      <c r="AL13" s="540"/>
      <c r="AM13" s="540"/>
      <c r="AN13" s="535"/>
      <c r="AO13" s="557"/>
    </row>
    <row r="14" spans="1:41" s="536" customFormat="1" ht="12.75" customHeight="1">
      <c r="A14" s="540"/>
      <c r="D14" s="540"/>
      <c r="E14" s="2608"/>
      <c r="F14" s="2609"/>
      <c r="G14" s="2609"/>
      <c r="H14" s="2609"/>
      <c r="I14" s="2609"/>
      <c r="J14" s="2609"/>
      <c r="K14" s="2609"/>
      <c r="L14" s="2609"/>
      <c r="M14" s="2609"/>
      <c r="N14" s="2609"/>
      <c r="O14" s="2609"/>
      <c r="P14" s="2609"/>
      <c r="Q14" s="2609"/>
      <c r="R14" s="2609"/>
      <c r="S14" s="2609"/>
      <c r="T14" s="2609"/>
      <c r="U14" s="2609"/>
      <c r="V14" s="2609"/>
      <c r="W14" s="2609"/>
      <c r="X14" s="2609"/>
      <c r="Y14" s="2609"/>
      <c r="Z14" s="2609"/>
      <c r="AA14" s="2609"/>
      <c r="AB14" s="2609"/>
      <c r="AC14" s="2609"/>
      <c r="AD14" s="2609"/>
      <c r="AE14" s="2609"/>
      <c r="AF14" s="2609"/>
      <c r="AG14" s="2609"/>
      <c r="AH14" s="2609"/>
      <c r="AI14" s="2609"/>
      <c r="AJ14" s="26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1" t="s">
        <v>589</v>
      </c>
      <c r="C16" s="2591"/>
      <c r="D16" s="540"/>
      <c r="E16" s="2452" t="s">
        <v>2548</v>
      </c>
      <c r="F16" s="2453"/>
      <c r="G16" s="2453"/>
      <c r="H16" s="2453"/>
      <c r="I16" s="2453"/>
      <c r="J16" s="2453"/>
      <c r="K16" s="2453"/>
      <c r="L16" s="2453"/>
      <c r="M16" s="2453"/>
      <c r="N16" s="2453"/>
      <c r="O16" s="2453"/>
      <c r="P16" s="2453"/>
      <c r="Q16" s="2453"/>
      <c r="R16" s="2453"/>
      <c r="S16" s="2453"/>
      <c r="T16" s="2453"/>
      <c r="U16" s="2453"/>
      <c r="V16" s="2453"/>
      <c r="W16" s="2453"/>
      <c r="X16" s="2453"/>
      <c r="Y16" s="2453"/>
      <c r="Z16" s="2453"/>
      <c r="AA16" s="2453"/>
      <c r="AB16" s="2453"/>
      <c r="AC16" s="2453"/>
      <c r="AD16" s="2453"/>
      <c r="AE16" s="2453"/>
      <c r="AF16" s="2453"/>
      <c r="AG16" s="2453"/>
      <c r="AH16" s="2453"/>
      <c r="AI16" s="2453"/>
      <c r="AJ16" s="2454"/>
      <c r="AK16" s="540"/>
      <c r="AL16" s="540"/>
      <c r="AM16" s="540"/>
      <c r="AN16" s="535"/>
    </row>
    <row r="17" spans="1:50" s="536" customFormat="1" ht="12.75" customHeight="1">
      <c r="A17" s="540"/>
      <c r="B17" s="540"/>
      <c r="C17" s="540"/>
      <c r="D17" s="540"/>
      <c r="E17" s="2455"/>
      <c r="F17" s="2456"/>
      <c r="G17" s="2456"/>
      <c r="H17" s="2456"/>
      <c r="I17" s="2456"/>
      <c r="J17" s="2456"/>
      <c r="K17" s="2456"/>
      <c r="L17" s="2456"/>
      <c r="M17" s="2456"/>
      <c r="N17" s="2456"/>
      <c r="O17" s="2456"/>
      <c r="P17" s="2456"/>
      <c r="Q17" s="2456"/>
      <c r="R17" s="2456"/>
      <c r="S17" s="2456"/>
      <c r="T17" s="2456"/>
      <c r="U17" s="2456"/>
      <c r="V17" s="2456"/>
      <c r="W17" s="2456"/>
      <c r="X17" s="2456"/>
      <c r="Y17" s="2456"/>
      <c r="Z17" s="2456"/>
      <c r="AA17" s="2456"/>
      <c r="AB17" s="2456"/>
      <c r="AC17" s="2456"/>
      <c r="AD17" s="2456"/>
      <c r="AE17" s="2456"/>
      <c r="AF17" s="2456"/>
      <c r="AG17" s="2456"/>
      <c r="AH17" s="2456"/>
      <c r="AI17" s="2456"/>
      <c r="AJ17" s="2457"/>
      <c r="AK17" s="540"/>
      <c r="AL17" s="540"/>
      <c r="AM17" s="540"/>
      <c r="AN17" s="535"/>
    </row>
    <row r="18" spans="1:50" s="536" customFormat="1" ht="12.75" customHeight="1">
      <c r="A18" s="540"/>
      <c r="B18" s="540"/>
      <c r="C18" s="1135"/>
      <c r="D18" s="540"/>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1" t="s">
        <v>589</v>
      </c>
      <c r="C20" s="2591"/>
      <c r="D20" s="540"/>
      <c r="E20" s="2452" t="s">
        <v>1977</v>
      </c>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4"/>
      <c r="AK20" s="540"/>
      <c r="AL20" s="540"/>
      <c r="AM20" s="540"/>
      <c r="AN20" s="535"/>
    </row>
    <row r="21" spans="1:50" s="536" customFormat="1" ht="12.75" customHeight="1">
      <c r="A21" s="540"/>
      <c r="B21" s="546"/>
      <c r="C21" s="546"/>
      <c r="D21" s="546"/>
      <c r="E21" s="2608"/>
      <c r="F21" s="2609"/>
      <c r="G21" s="2609"/>
      <c r="H21" s="2609"/>
      <c r="I21" s="2609"/>
      <c r="J21" s="2609"/>
      <c r="K21" s="2609"/>
      <c r="L21" s="2609"/>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10"/>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1" t="s">
        <v>589</v>
      </c>
      <c r="C26" s="2591"/>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2"/>
      <c r="AH26" s="2622"/>
      <c r="AI26" s="2622"/>
      <c r="AJ26" s="2623"/>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1" t="s">
        <v>589</v>
      </c>
      <c r="C30" s="2591"/>
      <c r="D30" s="546"/>
      <c r="E30" s="2624" t="s">
        <v>2637</v>
      </c>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6"/>
      <c r="AK30" s="540"/>
      <c r="AL30" s="540"/>
      <c r="AM30" s="540"/>
      <c r="AN30" s="535"/>
      <c r="AO30" s="549">
        <f>IF($B30="yes",9,0)</f>
        <v>0</v>
      </c>
    </row>
    <row r="31" spans="1:50" s="536" customFormat="1" ht="12.75" customHeight="1">
      <c r="A31" s="540"/>
      <c r="B31" s="540"/>
      <c r="C31" s="540"/>
      <c r="E31" s="2630"/>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2"/>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1" t="s">
        <v>589</v>
      </c>
      <c r="C33" s="2591"/>
      <c r="D33" s="546"/>
      <c r="E33" s="2624" t="s">
        <v>2554</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49">
        <f>IF($B39="yes",9,0)</f>
        <v>0</v>
      </c>
    </row>
    <row r="34" spans="1:43" s="536" customFormat="1" ht="12.75" customHeight="1">
      <c r="A34" s="540"/>
      <c r="B34" s="540"/>
      <c r="C34" s="540"/>
      <c r="D34" s="546"/>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c r="AO34" s="536">
        <f>MAX(AO30,AO31,AO32,AO33)</f>
        <v>0</v>
      </c>
      <c r="AP34" s="536" t="s">
        <v>1303</v>
      </c>
    </row>
    <row r="35" spans="1:43" s="536" customFormat="1" ht="12.75" customHeight="1">
      <c r="A35" s="540"/>
      <c r="B35" s="540"/>
      <c r="C35" s="540"/>
      <c r="E35" s="2630"/>
      <c r="F35" s="2631"/>
      <c r="G35" s="2631"/>
      <c r="H35" s="2631"/>
      <c r="I35" s="2631"/>
      <c r="J35" s="2631"/>
      <c r="K35" s="2631"/>
      <c r="L35" s="2631"/>
      <c r="M35" s="2631"/>
      <c r="N35" s="2631"/>
      <c r="O35" s="2631"/>
      <c r="P35" s="2631"/>
      <c r="Q35" s="2631"/>
      <c r="R35" s="2631"/>
      <c r="S35" s="2631"/>
      <c r="T35" s="2631"/>
      <c r="U35" s="2631"/>
      <c r="V35" s="2631"/>
      <c r="W35" s="2631"/>
      <c r="X35" s="2631"/>
      <c r="Y35" s="2631"/>
      <c r="Z35" s="2631"/>
      <c r="AA35" s="2631"/>
      <c r="AB35" s="2631"/>
      <c r="AC35" s="2631"/>
      <c r="AD35" s="2631"/>
      <c r="AE35" s="2631"/>
      <c r="AF35" s="2631"/>
      <c r="AG35" s="2631"/>
      <c r="AH35" s="2631"/>
      <c r="AI35" s="2631"/>
      <c r="AJ35" s="2632"/>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1" t="s">
        <v>589</v>
      </c>
      <c r="C37" s="2591"/>
      <c r="D37" s="1136"/>
      <c r="E37" s="2617" t="s">
        <v>2556</v>
      </c>
      <c r="F37" s="2618"/>
      <c r="G37" s="2618"/>
      <c r="H37" s="2618"/>
      <c r="I37" s="2618"/>
      <c r="J37" s="2618"/>
      <c r="K37" s="2618"/>
      <c r="L37" s="2618"/>
      <c r="M37" s="2618"/>
      <c r="N37" s="2618"/>
      <c r="O37" s="2618"/>
      <c r="P37" s="2618"/>
      <c r="Q37" s="2618"/>
      <c r="R37" s="2618"/>
      <c r="S37" s="2618"/>
      <c r="T37" s="2618"/>
      <c r="U37" s="2618"/>
      <c r="V37" s="2618"/>
      <c r="W37" s="2618"/>
      <c r="X37" s="2618"/>
      <c r="Y37" s="2618"/>
      <c r="Z37" s="2618"/>
      <c r="AA37" s="2618"/>
      <c r="AB37" s="2618"/>
      <c r="AC37" s="2618"/>
      <c r="AD37" s="2618"/>
      <c r="AE37" s="2618"/>
      <c r="AF37" s="2618"/>
      <c r="AG37" s="2618"/>
      <c r="AH37" s="2618"/>
      <c r="AI37" s="2618"/>
      <c r="AJ37" s="261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1" t="s">
        <v>589</v>
      </c>
      <c r="C39" s="2591"/>
      <c r="D39" s="1136"/>
      <c r="E39" s="2617" t="s">
        <v>2555</v>
      </c>
      <c r="F39" s="2618"/>
      <c r="G39" s="2618"/>
      <c r="H39" s="2618"/>
      <c r="I39" s="2618"/>
      <c r="J39" s="2618"/>
      <c r="K39" s="2618"/>
      <c r="L39" s="2618"/>
      <c r="M39" s="2618"/>
      <c r="N39" s="2618"/>
      <c r="O39" s="2618"/>
      <c r="P39" s="2618"/>
      <c r="Q39" s="2618"/>
      <c r="R39" s="2618"/>
      <c r="S39" s="2618"/>
      <c r="T39" s="2618"/>
      <c r="U39" s="2618"/>
      <c r="V39" s="2618"/>
      <c r="W39" s="2618"/>
      <c r="X39" s="2618"/>
      <c r="Y39" s="2618"/>
      <c r="Z39" s="2618"/>
      <c r="AA39" s="2618"/>
      <c r="AB39" s="2618"/>
      <c r="AC39" s="2618"/>
      <c r="AD39" s="2618"/>
      <c r="AE39" s="2618"/>
      <c r="AF39" s="2618"/>
      <c r="AG39" s="2618"/>
      <c r="AH39" s="2618"/>
      <c r="AI39" s="2618"/>
      <c r="AJ39" s="261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1" t="s">
        <v>589</v>
      </c>
      <c r="C43" s="2591"/>
      <c r="D43" s="546"/>
      <c r="E43" s="2592" t="s">
        <v>2638</v>
      </c>
      <c r="F43" s="2593"/>
      <c r="G43" s="2593"/>
      <c r="H43" s="2593"/>
      <c r="I43" s="2593"/>
      <c r="J43" s="2593"/>
      <c r="K43" s="2593"/>
      <c r="L43" s="2593"/>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4"/>
      <c r="AK43" s="540"/>
      <c r="AL43" s="540"/>
      <c r="AM43" s="540"/>
      <c r="AN43" s="535"/>
      <c r="AO43" s="549">
        <f>IF($B43="yes",8,0)</f>
        <v>0</v>
      </c>
      <c r="AP43" s="14"/>
    </row>
    <row r="44" spans="1:43" s="536" customFormat="1" ht="12.75" customHeight="1">
      <c r="A44" s="540"/>
      <c r="B44" s="540"/>
      <c r="C44" s="540"/>
      <c r="D44" s="550"/>
      <c r="E44" s="2633"/>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1" t="s">
        <v>589</v>
      </c>
      <c r="C46" s="2591"/>
      <c r="D46" s="546"/>
      <c r="E46" s="2624" t="s">
        <v>2639</v>
      </c>
      <c r="F46" s="2625"/>
      <c r="G46" s="2625"/>
      <c r="H46" s="2625"/>
      <c r="I46" s="2625"/>
      <c r="J46" s="2625"/>
      <c r="K46" s="2625"/>
      <c r="L46" s="2625"/>
      <c r="M46" s="2625"/>
      <c r="N46" s="2625"/>
      <c r="O46" s="2625"/>
      <c r="P46" s="2625"/>
      <c r="Q46" s="2625"/>
      <c r="R46" s="2625"/>
      <c r="S46" s="2625"/>
      <c r="T46" s="2625"/>
      <c r="U46" s="2625"/>
      <c r="V46" s="2625"/>
      <c r="W46" s="2625"/>
      <c r="X46" s="2625"/>
      <c r="Y46" s="2625"/>
      <c r="Z46" s="2625"/>
      <c r="AA46" s="2625"/>
      <c r="AB46" s="2625"/>
      <c r="AC46" s="2625"/>
      <c r="AD46" s="2625"/>
      <c r="AE46" s="2625"/>
      <c r="AF46" s="2625"/>
      <c r="AG46" s="2625"/>
      <c r="AH46" s="2625"/>
      <c r="AI46" s="2625"/>
      <c r="AJ46" s="2626"/>
      <c r="AK46" s="540"/>
      <c r="AL46" s="540"/>
      <c r="AM46" s="540"/>
      <c r="AN46" s="535"/>
      <c r="AO46" s="549">
        <f>IF($B52="yes",8,0)</f>
        <v>0</v>
      </c>
    </row>
    <row r="47" spans="1:43" s="536" customFormat="1" ht="12.75" customHeight="1">
      <c r="A47" s="540"/>
      <c r="B47" s="540"/>
      <c r="C47" s="540"/>
      <c r="D47" s="549"/>
      <c r="E47" s="2630"/>
      <c r="F47" s="2631"/>
      <c r="G47" s="2631"/>
      <c r="H47" s="2631"/>
      <c r="I47" s="2631"/>
      <c r="J47" s="2631"/>
      <c r="K47" s="2631"/>
      <c r="L47" s="2631"/>
      <c r="M47" s="2631"/>
      <c r="N47" s="2631"/>
      <c r="O47" s="2631"/>
      <c r="P47" s="2631"/>
      <c r="Q47" s="2631"/>
      <c r="R47" s="2631"/>
      <c r="S47" s="2631"/>
      <c r="T47" s="2631"/>
      <c r="U47" s="2631"/>
      <c r="V47" s="2631"/>
      <c r="W47" s="2631"/>
      <c r="X47" s="2631"/>
      <c r="Y47" s="2631"/>
      <c r="Z47" s="2631"/>
      <c r="AA47" s="2631"/>
      <c r="AB47" s="2631"/>
      <c r="AC47" s="2631"/>
      <c r="AD47" s="2631"/>
      <c r="AE47" s="2631"/>
      <c r="AF47" s="2631"/>
      <c r="AG47" s="2631"/>
      <c r="AH47" s="2631"/>
      <c r="AI47" s="2631"/>
      <c r="AJ47" s="2632"/>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1" t="s">
        <v>589</v>
      </c>
      <c r="C49" s="2591"/>
      <c r="D49" s="546"/>
      <c r="E49" s="2452" t="s">
        <v>2640</v>
      </c>
      <c r="F49" s="2453"/>
      <c r="G49" s="2453"/>
      <c r="H49" s="2453"/>
      <c r="I49" s="2453"/>
      <c r="J49" s="2453"/>
      <c r="K49" s="2453"/>
      <c r="L49" s="2453"/>
      <c r="M49" s="2453"/>
      <c r="N49" s="2453"/>
      <c r="O49" s="2453"/>
      <c r="P49" s="2453"/>
      <c r="Q49" s="2453"/>
      <c r="R49" s="2453"/>
      <c r="S49" s="2453"/>
      <c r="T49" s="2453"/>
      <c r="U49" s="2453"/>
      <c r="V49" s="2453"/>
      <c r="W49" s="2453"/>
      <c r="X49" s="2453"/>
      <c r="Y49" s="2453"/>
      <c r="Z49" s="2453"/>
      <c r="AA49" s="2453"/>
      <c r="AB49" s="2453"/>
      <c r="AC49" s="2453"/>
      <c r="AD49" s="2453"/>
      <c r="AE49" s="2453"/>
      <c r="AF49" s="2453"/>
      <c r="AG49" s="2453"/>
      <c r="AH49" s="2453"/>
      <c r="AI49" s="2453"/>
      <c r="AJ49" s="2454"/>
      <c r="AK49" s="540"/>
      <c r="AL49" s="540"/>
      <c r="AM49" s="540"/>
      <c r="AN49" s="535"/>
      <c r="AO49" s="549"/>
    </row>
    <row r="50" spans="1:42" s="536" customFormat="1" ht="12.75" customHeight="1">
      <c r="A50" s="540"/>
      <c r="B50" s="540"/>
      <c r="C50" s="540"/>
      <c r="D50" s="549"/>
      <c r="E50" s="2608"/>
      <c r="F50" s="2609"/>
      <c r="G50" s="2609"/>
      <c r="H50" s="2609"/>
      <c r="I50" s="2609"/>
      <c r="J50" s="2609"/>
      <c r="K50" s="2609"/>
      <c r="L50" s="2609"/>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1" t="s">
        <v>589</v>
      </c>
      <c r="C52" s="2591"/>
      <c r="D52" s="546"/>
      <c r="E52" s="2617" t="s">
        <v>2641</v>
      </c>
      <c r="F52" s="2618"/>
      <c r="G52" s="2618"/>
      <c r="H52" s="2618"/>
      <c r="I52" s="2618"/>
      <c r="J52" s="2618"/>
      <c r="K52" s="2618"/>
      <c r="L52" s="2618"/>
      <c r="M52" s="2618"/>
      <c r="N52" s="2618"/>
      <c r="O52" s="2618"/>
      <c r="P52" s="2618"/>
      <c r="Q52" s="2618"/>
      <c r="R52" s="2618"/>
      <c r="S52" s="2618"/>
      <c r="T52" s="2618"/>
      <c r="U52" s="2618"/>
      <c r="V52" s="2618"/>
      <c r="W52" s="2618"/>
      <c r="X52" s="2618"/>
      <c r="Y52" s="2618"/>
      <c r="Z52" s="2618"/>
      <c r="AA52" s="2618"/>
      <c r="AB52" s="2618"/>
      <c r="AC52" s="2618"/>
      <c r="AD52" s="2618"/>
      <c r="AE52" s="2618"/>
      <c r="AF52" s="2618"/>
      <c r="AG52" s="2618"/>
      <c r="AH52" s="2618"/>
      <c r="AI52" s="2618"/>
      <c r="AJ52" s="261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1" t="s">
        <v>589</v>
      </c>
      <c r="C56" s="2591"/>
      <c r="D56" s="546"/>
      <c r="E56" s="2452" t="s">
        <v>2557</v>
      </c>
      <c r="F56" s="2453"/>
      <c r="G56" s="2453"/>
      <c r="H56" s="2453"/>
      <c r="I56" s="2453"/>
      <c r="J56" s="2453"/>
      <c r="K56" s="2453"/>
      <c r="L56" s="2453"/>
      <c r="M56" s="2453"/>
      <c r="N56" s="2453"/>
      <c r="O56" s="2453"/>
      <c r="P56" s="2453"/>
      <c r="Q56" s="2453"/>
      <c r="R56" s="2453"/>
      <c r="S56" s="2453"/>
      <c r="T56" s="2453"/>
      <c r="U56" s="2453"/>
      <c r="V56" s="2453"/>
      <c r="W56" s="2453"/>
      <c r="X56" s="2453"/>
      <c r="Y56" s="2453"/>
      <c r="Z56" s="2453"/>
      <c r="AA56" s="2453"/>
      <c r="AB56" s="2453"/>
      <c r="AC56" s="2453"/>
      <c r="AD56" s="2453"/>
      <c r="AE56" s="2453"/>
      <c r="AF56" s="2453"/>
      <c r="AG56" s="2453"/>
      <c r="AH56" s="2453"/>
      <c r="AI56" s="2453"/>
      <c r="AJ56" s="2454"/>
      <c r="AK56" s="540"/>
      <c r="AL56" s="540"/>
      <c r="AM56" s="540"/>
      <c r="AN56" s="535"/>
      <c r="AO56" s="549">
        <f>IF($B59="yes",7,0)</f>
        <v>0</v>
      </c>
    </row>
    <row r="57" spans="1:42" s="536" customFormat="1" ht="12.75" customHeight="1">
      <c r="A57" s="540"/>
      <c r="B57" s="540"/>
      <c r="C57" s="540"/>
      <c r="D57" s="549"/>
      <c r="E57" s="2608"/>
      <c r="F57" s="2609"/>
      <c r="G57" s="2609"/>
      <c r="H57" s="2609"/>
      <c r="I57" s="2609"/>
      <c r="J57" s="2609"/>
      <c r="K57" s="2609"/>
      <c r="L57" s="2609"/>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10"/>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1" t="s">
        <v>589</v>
      </c>
      <c r="C59" s="2591"/>
      <c r="D59" s="546"/>
      <c r="E59" s="2617" t="s">
        <v>2558</v>
      </c>
      <c r="F59" s="2618"/>
      <c r="G59" s="2618"/>
      <c r="H59" s="2618"/>
      <c r="I59" s="2618"/>
      <c r="J59" s="2618"/>
      <c r="K59" s="2618"/>
      <c r="L59" s="2618"/>
      <c r="M59" s="2618"/>
      <c r="N59" s="2618"/>
      <c r="O59" s="2618"/>
      <c r="P59" s="2618"/>
      <c r="Q59" s="2618"/>
      <c r="R59" s="2618"/>
      <c r="S59" s="2618"/>
      <c r="T59" s="2618"/>
      <c r="U59" s="2618"/>
      <c r="V59" s="2618"/>
      <c r="W59" s="2618"/>
      <c r="X59" s="2618"/>
      <c r="Y59" s="2618"/>
      <c r="Z59" s="2618"/>
      <c r="AA59" s="2618"/>
      <c r="AB59" s="2618"/>
      <c r="AC59" s="2618"/>
      <c r="AD59" s="2618"/>
      <c r="AE59" s="2618"/>
      <c r="AF59" s="2618"/>
      <c r="AG59" s="2618"/>
      <c r="AH59" s="2618"/>
      <c r="AI59" s="2618"/>
      <c r="AJ59" s="261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583">
        <f>AO60</f>
        <v>0</v>
      </c>
      <c r="AL61" s="2584"/>
      <c r="AM61" s="258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9" t="s">
        <v>1306</v>
      </c>
      <c r="AF64" s="2449"/>
      <c r="AG64" s="2449"/>
      <c r="AH64" s="2449"/>
      <c r="AI64" s="2449"/>
      <c r="AJ64" s="2449"/>
      <c r="AK64" s="2449"/>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1" t="s">
        <v>589</v>
      </c>
      <c r="C67" s="2591"/>
      <c r="D67" s="546" t="s">
        <v>1307</v>
      </c>
      <c r="E67" s="2592" t="s">
        <v>1978</v>
      </c>
      <c r="F67" s="2593"/>
      <c r="G67" s="2593"/>
      <c r="H67" s="2593"/>
      <c r="I67" s="2593"/>
      <c r="J67" s="2593"/>
      <c r="K67" s="2593"/>
      <c r="L67" s="2593"/>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4"/>
      <c r="AK67" s="543"/>
      <c r="AL67" s="540"/>
      <c r="AM67" s="540"/>
      <c r="AN67" s="535"/>
      <c r="AO67" s="549">
        <f>IF($B67="yes",10,0)</f>
        <v>0</v>
      </c>
    </row>
    <row r="68" spans="1:42" s="536" customFormat="1" ht="12.75" customHeight="1">
      <c r="A68" s="538"/>
      <c r="B68" s="540"/>
      <c r="C68" s="540"/>
      <c r="D68" s="550"/>
      <c r="E68" s="2595"/>
      <c r="F68" s="2596"/>
      <c r="G68" s="2596"/>
      <c r="H68" s="2596"/>
      <c r="I68" s="2596"/>
      <c r="J68" s="2596"/>
      <c r="K68" s="2596"/>
      <c r="L68" s="2596"/>
      <c r="M68" s="2596"/>
      <c r="N68" s="2596"/>
      <c r="O68" s="2596"/>
      <c r="P68" s="2596"/>
      <c r="Q68" s="2596"/>
      <c r="R68" s="2596"/>
      <c r="S68" s="2596"/>
      <c r="T68" s="2596"/>
      <c r="U68" s="2596"/>
      <c r="V68" s="2596"/>
      <c r="W68" s="2596"/>
      <c r="X68" s="2596"/>
      <c r="Y68" s="2596"/>
      <c r="Z68" s="2596"/>
      <c r="AA68" s="2596"/>
      <c r="AB68" s="2596"/>
      <c r="AC68" s="2596"/>
      <c r="AD68" s="2596"/>
      <c r="AE68" s="2596"/>
      <c r="AF68" s="2596"/>
      <c r="AG68" s="2596"/>
      <c r="AH68" s="2596"/>
      <c r="AI68" s="2596"/>
      <c r="AJ68" s="2597"/>
      <c r="AK68" s="543"/>
      <c r="AL68" s="540"/>
      <c r="AM68" s="540"/>
      <c r="AN68" s="535"/>
      <c r="AO68" s="549">
        <f>IF(AND($B73="yes",OR(E74="Yes",E75="Yes",E76="Yes")),10,0)</f>
        <v>0</v>
      </c>
    </row>
    <row r="69" spans="1:42" s="536" customFormat="1" ht="12.75" customHeight="1">
      <c r="A69" s="538"/>
      <c r="B69" s="540"/>
      <c r="C69" s="540"/>
      <c r="D69" s="550"/>
      <c r="E69" s="2595"/>
      <c r="F69" s="2596"/>
      <c r="G69" s="2596"/>
      <c r="H69" s="2596"/>
      <c r="I69" s="2596"/>
      <c r="J69" s="2596"/>
      <c r="K69" s="2596"/>
      <c r="L69" s="2596"/>
      <c r="M69" s="2596"/>
      <c r="N69" s="2596"/>
      <c r="O69" s="2596"/>
      <c r="P69" s="2596"/>
      <c r="Q69" s="2596"/>
      <c r="R69" s="2596"/>
      <c r="S69" s="2596"/>
      <c r="T69" s="2596"/>
      <c r="U69" s="2596"/>
      <c r="V69" s="2596"/>
      <c r="W69" s="2596"/>
      <c r="X69" s="2596"/>
      <c r="Y69" s="2596"/>
      <c r="Z69" s="2596"/>
      <c r="AA69" s="2596"/>
      <c r="AB69" s="2596"/>
      <c r="AC69" s="2596"/>
      <c r="AD69" s="2596"/>
      <c r="AE69" s="2596"/>
      <c r="AF69" s="2596"/>
      <c r="AG69" s="2596"/>
      <c r="AH69" s="2596"/>
      <c r="AI69" s="2596"/>
      <c r="AJ69" s="2597"/>
      <c r="AK69" s="543"/>
      <c r="AL69" s="540"/>
      <c r="AM69" s="540"/>
      <c r="AN69" s="535"/>
      <c r="AO69" s="549">
        <f>IF($B78="yes",10,0)</f>
        <v>10</v>
      </c>
    </row>
    <row r="70" spans="1:42" s="536" customFormat="1" ht="12.75" customHeight="1">
      <c r="A70" s="538"/>
      <c r="B70" s="540"/>
      <c r="C70" s="540"/>
      <c r="D70" s="550"/>
      <c r="E70" s="2595"/>
      <c r="F70" s="2596"/>
      <c r="G70" s="2596"/>
      <c r="H70" s="2596"/>
      <c r="I70" s="2596"/>
      <c r="J70" s="2596"/>
      <c r="K70" s="2596"/>
      <c r="L70" s="2596"/>
      <c r="M70" s="2596"/>
      <c r="N70" s="2596"/>
      <c r="O70" s="2596"/>
      <c r="P70" s="2596"/>
      <c r="Q70" s="2596"/>
      <c r="R70" s="2596"/>
      <c r="S70" s="2596"/>
      <c r="T70" s="2596"/>
      <c r="U70" s="2596"/>
      <c r="V70" s="2596"/>
      <c r="W70" s="2596"/>
      <c r="X70" s="2596"/>
      <c r="Y70" s="2596"/>
      <c r="Z70" s="2596"/>
      <c r="AA70" s="2596"/>
      <c r="AB70" s="2596"/>
      <c r="AC70" s="2596"/>
      <c r="AD70" s="2596"/>
      <c r="AE70" s="2596"/>
      <c r="AF70" s="2596"/>
      <c r="AG70" s="2596"/>
      <c r="AH70" s="2596"/>
      <c r="AI70" s="2596"/>
      <c r="AJ70" s="2597"/>
      <c r="AK70" s="543"/>
      <c r="AL70" s="540"/>
      <c r="AM70" s="540"/>
      <c r="AN70" s="535"/>
      <c r="AO70" s="549">
        <f>IF($B81="yes",10,0)</f>
        <v>0</v>
      </c>
    </row>
    <row r="71" spans="1:42" s="536" customFormat="1" ht="12.75" customHeight="1">
      <c r="A71" s="538"/>
      <c r="B71" s="540"/>
      <c r="C71" s="540"/>
      <c r="D71" s="550"/>
      <c r="E71" s="2633"/>
      <c r="F71" s="2634"/>
      <c r="G71" s="2634"/>
      <c r="H71" s="2634"/>
      <c r="I71" s="2634"/>
      <c r="J71" s="2634"/>
      <c r="K71" s="2634"/>
      <c r="L71" s="2634"/>
      <c r="M71" s="2634"/>
      <c r="N71" s="2634"/>
      <c r="O71" s="2634"/>
      <c r="P71" s="2634"/>
      <c r="Q71" s="2634"/>
      <c r="R71" s="2634"/>
      <c r="S71" s="2634"/>
      <c r="T71" s="2634"/>
      <c r="U71" s="2634"/>
      <c r="V71" s="2634"/>
      <c r="W71" s="2634"/>
      <c r="X71" s="2634"/>
      <c r="Y71" s="2634"/>
      <c r="Z71" s="2634"/>
      <c r="AA71" s="2634"/>
      <c r="AB71" s="2634"/>
      <c r="AC71" s="2634"/>
      <c r="AD71" s="2634"/>
      <c r="AE71" s="2634"/>
      <c r="AF71" s="2634"/>
      <c r="AG71" s="2634"/>
      <c r="AH71" s="2634"/>
      <c r="AI71" s="2634"/>
      <c r="AJ71" s="2635"/>
      <c r="AK71" s="543"/>
      <c r="AL71" s="540"/>
      <c r="AM71" s="540"/>
      <c r="AN71" s="535"/>
      <c r="AO71" s="536">
        <f>IF(SUM(AO67:AO70)&gt;10,10,(SUM(AO67:AO70)))</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1" t="s">
        <v>589</v>
      </c>
      <c r="C73" s="2591"/>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9" t="s">
        <v>589</v>
      </c>
      <c r="F74" s="2591"/>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7" t="s">
        <v>589</v>
      </c>
      <c r="F75" s="2638"/>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7" t="s">
        <v>589</v>
      </c>
      <c r="F76" s="2638"/>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1" t="s">
        <v>543</v>
      </c>
      <c r="C78" s="2591"/>
      <c r="D78" s="546" t="s">
        <v>1312</v>
      </c>
      <c r="E78" s="2452" t="s">
        <v>1726</v>
      </c>
      <c r="F78" s="2453"/>
      <c r="G78" s="2453"/>
      <c r="H78" s="2453"/>
      <c r="I78" s="2453"/>
      <c r="J78" s="2453"/>
      <c r="K78" s="2453"/>
      <c r="L78" s="2453"/>
      <c r="M78" s="2453"/>
      <c r="N78" s="2453"/>
      <c r="O78" s="2453"/>
      <c r="P78" s="2453"/>
      <c r="Q78" s="2453"/>
      <c r="R78" s="2453"/>
      <c r="S78" s="2453"/>
      <c r="T78" s="2453"/>
      <c r="U78" s="2453"/>
      <c r="V78" s="2453"/>
      <c r="W78" s="2453"/>
      <c r="X78" s="2453"/>
      <c r="Y78" s="2453"/>
      <c r="Z78" s="2453"/>
      <c r="AA78" s="2453"/>
      <c r="AB78" s="2453"/>
      <c r="AC78" s="2453"/>
      <c r="AD78" s="2453"/>
      <c r="AE78" s="2453"/>
      <c r="AF78" s="2453"/>
      <c r="AG78" s="2453"/>
      <c r="AH78" s="2453"/>
      <c r="AI78" s="2453"/>
      <c r="AJ78" s="2454"/>
      <c r="AK78" s="543"/>
      <c r="AL78" s="540"/>
      <c r="AM78" s="540"/>
      <c r="AN78" s="535"/>
    </row>
    <row r="79" spans="1:42" s="536" customFormat="1" ht="12.75" customHeight="1">
      <c r="A79" s="538"/>
      <c r="B79" s="540"/>
      <c r="C79" s="540"/>
      <c r="E79" s="2608"/>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609"/>
      <c r="AC79" s="2609"/>
      <c r="AD79" s="2609"/>
      <c r="AE79" s="2609"/>
      <c r="AF79" s="2609"/>
      <c r="AG79" s="2609"/>
      <c r="AH79" s="2609"/>
      <c r="AI79" s="2609"/>
      <c r="AJ79" s="26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1" t="s">
        <v>589</v>
      </c>
      <c r="C81" s="2591"/>
      <c r="D81" s="546" t="s">
        <v>1459</v>
      </c>
      <c r="E81" s="2617" t="s">
        <v>1724</v>
      </c>
      <c r="F81" s="2618"/>
      <c r="G81" s="2618"/>
      <c r="H81" s="2618"/>
      <c r="I81" s="2618"/>
      <c r="J81" s="2618"/>
      <c r="K81" s="2618"/>
      <c r="L81" s="2618"/>
      <c r="M81" s="2618"/>
      <c r="N81" s="2618"/>
      <c r="O81" s="2618"/>
      <c r="P81" s="2618"/>
      <c r="Q81" s="2618"/>
      <c r="R81" s="2618"/>
      <c r="S81" s="2618"/>
      <c r="T81" s="2618"/>
      <c r="U81" s="2618"/>
      <c r="V81" s="2618"/>
      <c r="W81" s="2618"/>
      <c r="X81" s="2618"/>
      <c r="Y81" s="2618"/>
      <c r="Z81" s="2618"/>
      <c r="AA81" s="2618"/>
      <c r="AB81" s="2618"/>
      <c r="AC81" s="2618"/>
      <c r="AD81" s="2618"/>
      <c r="AE81" s="2618"/>
      <c r="AF81" s="2618"/>
      <c r="AG81" s="2618"/>
      <c r="AH81" s="2618"/>
      <c r="AI81" s="2618"/>
      <c r="AJ81" s="261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83">
        <f>IF(AK61&gt;0,0,AO71)</f>
        <v>10</v>
      </c>
      <c r="AL83" s="2584"/>
      <c r="AM83" s="258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9" t="s">
        <v>1301</v>
      </c>
      <c r="AF86" s="2449"/>
      <c r="AG86" s="2449"/>
      <c r="AH86" s="2449"/>
      <c r="AI86" s="2449"/>
      <c r="AJ86" s="2449"/>
      <c r="AK86" s="2449"/>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1" t="s">
        <v>589</v>
      </c>
      <c r="C89" s="2591"/>
      <c r="D89" s="546" t="s">
        <v>1307</v>
      </c>
      <c r="E89" s="2592" t="s">
        <v>1317</v>
      </c>
      <c r="F89" s="2593"/>
      <c r="G89" s="2593"/>
      <c r="H89" s="2593"/>
      <c r="I89" s="2593"/>
      <c r="J89" s="2593"/>
      <c r="K89" s="2593"/>
      <c r="L89" s="2593"/>
      <c r="M89" s="2593"/>
      <c r="N89" s="2593"/>
      <c r="O89" s="2593"/>
      <c r="P89" s="2593"/>
      <c r="Q89" s="2593"/>
      <c r="R89" s="2593"/>
      <c r="S89" s="2593"/>
      <c r="T89" s="2593"/>
      <c r="U89" s="2593"/>
      <c r="V89" s="2593"/>
      <c r="W89" s="2593"/>
      <c r="X89" s="2593"/>
      <c r="Y89" s="2593"/>
      <c r="Z89" s="2593"/>
      <c r="AA89" s="2593"/>
      <c r="AB89" s="2593"/>
      <c r="AC89" s="2593"/>
      <c r="AD89" s="2593"/>
      <c r="AE89" s="2593"/>
      <c r="AF89" s="2593"/>
      <c r="AG89" s="2593"/>
      <c r="AH89" s="2593"/>
      <c r="AI89" s="2593"/>
      <c r="AJ89" s="2594"/>
      <c r="AK89" s="543"/>
      <c r="AL89" s="540"/>
      <c r="AM89" s="540"/>
      <c r="AN89" s="535"/>
    </row>
    <row r="90" spans="1:43" s="536" customFormat="1" ht="12.75" customHeight="1">
      <c r="A90" s="538"/>
      <c r="B90" s="539"/>
      <c r="C90" s="539"/>
      <c r="D90" s="539"/>
      <c r="E90" s="2595"/>
      <c r="F90" s="2596"/>
      <c r="G90" s="2596"/>
      <c r="H90" s="2596"/>
      <c r="I90" s="2596"/>
      <c r="J90" s="2596"/>
      <c r="K90" s="2596"/>
      <c r="L90" s="2596"/>
      <c r="M90" s="2596"/>
      <c r="N90" s="2596"/>
      <c r="O90" s="2596"/>
      <c r="P90" s="2596"/>
      <c r="Q90" s="2596"/>
      <c r="R90" s="2596"/>
      <c r="S90" s="2596"/>
      <c r="T90" s="2596"/>
      <c r="U90" s="2596"/>
      <c r="V90" s="2596"/>
      <c r="W90" s="2596"/>
      <c r="X90" s="2596"/>
      <c r="Y90" s="2596"/>
      <c r="Z90" s="2596"/>
      <c r="AA90" s="2596"/>
      <c r="AB90" s="2596"/>
      <c r="AC90" s="2596"/>
      <c r="AD90" s="2596"/>
      <c r="AE90" s="2596"/>
      <c r="AF90" s="2596"/>
      <c r="AG90" s="2596"/>
      <c r="AH90" s="2596"/>
      <c r="AI90" s="2596"/>
      <c r="AJ90" s="2597"/>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4">
        <f>Application!AC761</f>
        <v>0.57468354430379742</v>
      </c>
      <c r="F92" s="2605"/>
      <c r="G92" s="2605"/>
      <c r="H92" s="2605"/>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6">
        <f>0.6-ROUNDUP(E92,2)</f>
        <v>2.0000000000000018E-2</v>
      </c>
      <c r="F93" s="2423"/>
      <c r="G93" s="2423"/>
      <c r="H93" s="2423"/>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5">
        <f>IF(E93*200&gt;20,20,E93*200)</f>
        <v>4.0000000000000036</v>
      </c>
      <c r="F94" s="2616"/>
      <c r="G94" s="2616"/>
      <c r="H94" s="2616"/>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1" t="s">
        <v>543</v>
      </c>
      <c r="C97" s="2591"/>
      <c r="D97" s="546" t="s">
        <v>1309</v>
      </c>
      <c r="E97" s="2592" t="s">
        <v>1712</v>
      </c>
      <c r="F97" s="2593"/>
      <c r="G97" s="2593"/>
      <c r="H97" s="2593"/>
      <c r="I97" s="2593"/>
      <c r="J97" s="2593"/>
      <c r="K97" s="2593"/>
      <c r="L97" s="2593"/>
      <c r="M97" s="2593"/>
      <c r="N97" s="2593"/>
      <c r="O97" s="2593"/>
      <c r="P97" s="2593"/>
      <c r="Q97" s="2593"/>
      <c r="R97" s="2593"/>
      <c r="S97" s="2593"/>
      <c r="T97" s="2593"/>
      <c r="U97" s="2593"/>
      <c r="V97" s="2593"/>
      <c r="W97" s="2593"/>
      <c r="X97" s="2593"/>
      <c r="Y97" s="2593"/>
      <c r="Z97" s="2593"/>
      <c r="AA97" s="2593"/>
      <c r="AB97" s="2593"/>
      <c r="AC97" s="2593"/>
      <c r="AD97" s="2593"/>
      <c r="AE97" s="2593"/>
      <c r="AF97" s="2593"/>
      <c r="AG97" s="2593"/>
      <c r="AH97" s="2593"/>
      <c r="AI97" s="2593"/>
      <c r="AJ97" s="2594"/>
      <c r="AK97" s="543"/>
      <c r="AL97" s="540"/>
      <c r="AM97" s="540"/>
      <c r="AN97" s="535"/>
    </row>
    <row r="98" spans="1:47" s="536" customFormat="1" ht="12.75" customHeight="1">
      <c r="A98" s="538"/>
      <c r="B98" s="539"/>
      <c r="C98" s="539"/>
      <c r="D98" s="539"/>
      <c r="E98" s="2595"/>
      <c r="F98" s="2596"/>
      <c r="G98" s="2596"/>
      <c r="H98" s="2596"/>
      <c r="I98" s="2596"/>
      <c r="J98" s="2596"/>
      <c r="K98" s="2596"/>
      <c r="L98" s="2596"/>
      <c r="M98" s="2596"/>
      <c r="N98" s="2596"/>
      <c r="O98" s="2596"/>
      <c r="P98" s="2596"/>
      <c r="Q98" s="2596"/>
      <c r="R98" s="2596"/>
      <c r="S98" s="2596"/>
      <c r="T98" s="2596"/>
      <c r="U98" s="2596"/>
      <c r="V98" s="2596"/>
      <c r="W98" s="2596"/>
      <c r="X98" s="2596"/>
      <c r="Y98" s="2596"/>
      <c r="Z98" s="2596"/>
      <c r="AA98" s="2596"/>
      <c r="AB98" s="2596"/>
      <c r="AC98" s="2596"/>
      <c r="AD98" s="2596"/>
      <c r="AE98" s="2596"/>
      <c r="AF98" s="2596"/>
      <c r="AG98" s="2596"/>
      <c r="AH98" s="2596"/>
      <c r="AI98" s="2596"/>
      <c r="AJ98" s="2597"/>
      <c r="AK98" s="543"/>
      <c r="AL98" s="540"/>
      <c r="AM98" s="540"/>
      <c r="AN98" s="535"/>
    </row>
    <row r="99" spans="1:47" s="536" customFormat="1" ht="12.75" customHeight="1">
      <c r="A99" s="538"/>
      <c r="B99" s="539"/>
      <c r="C99" s="539"/>
      <c r="D99" s="539"/>
      <c r="E99" s="2595"/>
      <c r="F99" s="2596"/>
      <c r="G99" s="2596"/>
      <c r="H99" s="2596"/>
      <c r="I99" s="2596"/>
      <c r="J99" s="2596"/>
      <c r="K99" s="2596"/>
      <c r="L99" s="2596"/>
      <c r="M99" s="2596"/>
      <c r="N99" s="2596"/>
      <c r="O99" s="2596"/>
      <c r="P99" s="2596"/>
      <c r="Q99" s="2596"/>
      <c r="R99" s="2596"/>
      <c r="S99" s="2596"/>
      <c r="T99" s="2596"/>
      <c r="U99" s="2596"/>
      <c r="V99" s="2596"/>
      <c r="W99" s="2596"/>
      <c r="X99" s="2596"/>
      <c r="Y99" s="2596"/>
      <c r="Z99" s="2596"/>
      <c r="AA99" s="2596"/>
      <c r="AB99" s="2596"/>
      <c r="AC99" s="2596"/>
      <c r="AD99" s="2596"/>
      <c r="AE99" s="2596"/>
      <c r="AF99" s="2596"/>
      <c r="AG99" s="2596"/>
      <c r="AH99" s="2596"/>
      <c r="AI99" s="2596"/>
      <c r="AJ99" s="2597"/>
      <c r="AK99" s="543"/>
      <c r="AL99" s="540"/>
      <c r="AM99" s="540"/>
      <c r="AN99" s="535"/>
    </row>
    <row r="100" spans="1:47" s="536" customFormat="1" ht="12.75" customHeight="1">
      <c r="A100" s="538"/>
      <c r="B100" s="539"/>
      <c r="C100" s="539"/>
      <c r="D100" s="539"/>
      <c r="E100" s="2595"/>
      <c r="F100" s="2596"/>
      <c r="G100" s="2596"/>
      <c r="H100" s="2596"/>
      <c r="I100" s="2596"/>
      <c r="J100" s="2596"/>
      <c r="K100" s="2596"/>
      <c r="L100" s="2596"/>
      <c r="M100" s="2596"/>
      <c r="N100" s="2596"/>
      <c r="O100" s="2596"/>
      <c r="P100" s="2596"/>
      <c r="Q100" s="2596"/>
      <c r="R100" s="2596"/>
      <c r="S100" s="2596"/>
      <c r="T100" s="2596"/>
      <c r="U100" s="2596"/>
      <c r="V100" s="2596"/>
      <c r="W100" s="2596"/>
      <c r="X100" s="2596"/>
      <c r="Y100" s="2596"/>
      <c r="Z100" s="2596"/>
      <c r="AA100" s="2596"/>
      <c r="AB100" s="2596"/>
      <c r="AC100" s="2596"/>
      <c r="AD100" s="2596"/>
      <c r="AE100" s="2596"/>
      <c r="AF100" s="2596"/>
      <c r="AG100" s="2596"/>
      <c r="AH100" s="2596"/>
      <c r="AI100" s="2596"/>
      <c r="AJ100" s="2597"/>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4">
        <f>Application!AC761</f>
        <v>0.57468354430379742</v>
      </c>
      <c r="F102" s="2605"/>
      <c r="G102" s="2605"/>
      <c r="H102" s="2605"/>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4">
        <f ca="1">SUMIF(Application!AC726:AG760,0.2,Application!G726:J760)/Application!G761+SUMIF(Application!AC726:AG760,0.25,Application!G726:J760)/Application!G761+SUMIF(Application!AC726:AG760,0.3,Application!G726:J760)/Application!G761</f>
        <v>0.10126582278481013</v>
      </c>
      <c r="F103" s="2605"/>
      <c r="G103" s="2605"/>
      <c r="H103" s="2605"/>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4">
        <f ca="1">SUMIF(Application!AC726:AG760,0.35,Application!G726:J760)/Application!G761+SUMIF(Application!AC726:AG760,0.4,Application!G726:J760)/Application!G761+SUMIF(Application!AC726:AG760,0.45,Application!G726:J760)/Application!G761+SUMIF(Application!AC726:AG760,0.5,Application!G726:J760)/Application!G761</f>
        <v>0.10126582278481013</v>
      </c>
      <c r="F104" s="2605"/>
      <c r="G104" s="2605"/>
      <c r="H104" s="2605"/>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2">
        <f ca="1">IF(AND(E102&lt;=0.6,OR(AND(E103&gt;=0.1,E104&gt;=0.1),AND(E103&gt;0.1,(E103+E104)&gt;=0.2))),20,0)</f>
        <v>20</v>
      </c>
      <c r="F105" s="2603"/>
      <c r="G105" s="2603"/>
      <c r="H105" s="2603"/>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83">
        <f ca="1">MAX(AP94,AP105)</f>
        <v>20</v>
      </c>
      <c r="AL108" s="2584"/>
      <c r="AM108" s="258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9" t="s">
        <v>1306</v>
      </c>
      <c r="AF111" s="2449"/>
      <c r="AG111" s="2449"/>
      <c r="AH111" s="2449"/>
      <c r="AI111" s="2449"/>
      <c r="AJ111" s="2449"/>
      <c r="AK111" s="2449"/>
      <c r="AL111" s="540"/>
      <c r="AM111" s="540"/>
      <c r="AN111" s="535"/>
      <c r="AO111" s="536" t="str">
        <f>Application!B726</f>
        <v>1 Bedroom</v>
      </c>
      <c r="AQ111" s="536">
        <f>Application!O726</f>
        <v>602</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1022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1232</v>
      </c>
    </row>
    <row r="114" spans="1:52" s="536" customFormat="1" ht="12.75" customHeight="1">
      <c r="A114" s="540"/>
      <c r="B114" s="2591" t="s">
        <v>543</v>
      </c>
      <c r="C114" s="2591"/>
      <c r="D114" s="546" t="s">
        <v>1307</v>
      </c>
      <c r="E114" s="2592" t="s">
        <v>2560</v>
      </c>
      <c r="F114" s="2593"/>
      <c r="G114" s="2593"/>
      <c r="H114" s="2593"/>
      <c r="I114" s="2593"/>
      <c r="J114" s="2593"/>
      <c r="K114" s="2593"/>
      <c r="L114" s="2593"/>
      <c r="M114" s="2593"/>
      <c r="N114" s="2593"/>
      <c r="O114" s="2593"/>
      <c r="P114" s="2593"/>
      <c r="Q114" s="2593"/>
      <c r="R114" s="2593"/>
      <c r="S114" s="2593"/>
      <c r="T114" s="2593"/>
      <c r="U114" s="2593"/>
      <c r="V114" s="2593"/>
      <c r="W114" s="2593"/>
      <c r="X114" s="2593"/>
      <c r="Y114" s="2593"/>
      <c r="Z114" s="2593"/>
      <c r="AA114" s="2593"/>
      <c r="AB114" s="2593"/>
      <c r="AC114" s="2593"/>
      <c r="AD114" s="2593"/>
      <c r="AE114" s="2593"/>
      <c r="AF114" s="2593"/>
      <c r="AG114" s="2593"/>
      <c r="AH114" s="2593"/>
      <c r="AI114" s="2593"/>
      <c r="AJ114" s="2594"/>
      <c r="AK114" s="540"/>
      <c r="AL114" s="540"/>
      <c r="AM114" s="540"/>
      <c r="AN114" s="535"/>
      <c r="AO114" s="536" t="str">
        <f>Application!B729</f>
        <v>2 Bedrooms</v>
      </c>
      <c r="AQ114" s="536">
        <f>Application!O729</f>
        <v>720</v>
      </c>
      <c r="AU114" s="536" t="s">
        <v>1814</v>
      </c>
      <c r="AV114" s="593" t="s">
        <v>1815</v>
      </c>
      <c r="AW114" s="536" t="s">
        <v>1816</v>
      </c>
    </row>
    <row r="115" spans="1:52" s="536" customFormat="1" ht="12.75" customHeight="1">
      <c r="A115" s="540"/>
      <c r="B115" s="539"/>
      <c r="C115" s="539"/>
      <c r="D115" s="539"/>
      <c r="E115" s="2595"/>
      <c r="F115" s="2596"/>
      <c r="G115" s="2596"/>
      <c r="H115" s="2596"/>
      <c r="I115" s="2596"/>
      <c r="J115" s="2596"/>
      <c r="K115" s="2596"/>
      <c r="L115" s="2596"/>
      <c r="M115" s="2596"/>
      <c r="N115" s="2596"/>
      <c r="O115" s="2596"/>
      <c r="P115" s="2596"/>
      <c r="Q115" s="2596"/>
      <c r="R115" s="2596"/>
      <c r="S115" s="2596"/>
      <c r="T115" s="2596"/>
      <c r="U115" s="2596"/>
      <c r="V115" s="2596"/>
      <c r="W115" s="2596"/>
      <c r="X115" s="2596"/>
      <c r="Y115" s="2596"/>
      <c r="Z115" s="2596"/>
      <c r="AA115" s="2596"/>
      <c r="AB115" s="2596"/>
      <c r="AC115" s="2596"/>
      <c r="AD115" s="2596"/>
      <c r="AE115" s="2596"/>
      <c r="AF115" s="2596"/>
      <c r="AG115" s="2596"/>
      <c r="AH115" s="2596"/>
      <c r="AI115" s="2596"/>
      <c r="AJ115" s="2597"/>
      <c r="AK115" s="540"/>
      <c r="AL115" s="540"/>
      <c r="AM115" s="540"/>
      <c r="AN115" s="535"/>
      <c r="AO115" s="536" t="str">
        <f>Application!B730</f>
        <v>2 Bedrooms</v>
      </c>
      <c r="AQ115" s="536">
        <f>Application!O730</f>
        <v>1223</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5"/>
      <c r="F116" s="2596"/>
      <c r="G116" s="2596"/>
      <c r="H116" s="2596"/>
      <c r="I116" s="2596"/>
      <c r="J116" s="2596"/>
      <c r="K116" s="2596"/>
      <c r="L116" s="2596"/>
      <c r="M116" s="2596"/>
      <c r="N116" s="2596"/>
      <c r="O116" s="2596"/>
      <c r="P116" s="2596"/>
      <c r="Q116" s="2596"/>
      <c r="R116" s="2596"/>
      <c r="S116" s="2596"/>
      <c r="T116" s="2596"/>
      <c r="U116" s="2596"/>
      <c r="V116" s="2596"/>
      <c r="W116" s="2596"/>
      <c r="X116" s="2596"/>
      <c r="Y116" s="2596"/>
      <c r="Z116" s="2596"/>
      <c r="AA116" s="2596"/>
      <c r="AB116" s="2596"/>
      <c r="AC116" s="2596"/>
      <c r="AD116" s="2596"/>
      <c r="AE116" s="2596"/>
      <c r="AF116" s="2596"/>
      <c r="AG116" s="2596"/>
      <c r="AH116" s="2596"/>
      <c r="AI116" s="2596"/>
      <c r="AJ116" s="2597"/>
      <c r="AK116" s="540"/>
      <c r="AL116" s="540"/>
      <c r="AM116" s="540"/>
      <c r="AN116" s="535"/>
      <c r="AO116" s="536" t="str">
        <f>Application!B731</f>
        <v>2 Bedrooms</v>
      </c>
      <c r="AQ116" s="536">
        <f>Application!O731</f>
        <v>1475</v>
      </c>
      <c r="AU116" s="852" t="str">
        <f>J123</f>
        <v>1-bedroom</v>
      </c>
      <c r="AV116" s="536">
        <f t="array" ref="AV116">SUM(IF(Application!B726:F760="1 Bedroom",Application!G726:J760))</f>
        <v>36</v>
      </c>
      <c r="AW116" s="1006">
        <f>AV116/AV121</f>
        <v>0.15189873417721519</v>
      </c>
    </row>
    <row r="117" spans="1:52" s="536" customFormat="1" ht="12.75" customHeight="1">
      <c r="A117" s="540"/>
      <c r="B117" s="539"/>
      <c r="C117" s="539"/>
      <c r="D117" s="539"/>
      <c r="E117" s="2595"/>
      <c r="F117" s="2596"/>
      <c r="G117" s="2596"/>
      <c r="H117" s="2596"/>
      <c r="I117" s="2596"/>
      <c r="J117" s="2596"/>
      <c r="K117" s="2596"/>
      <c r="L117" s="2596"/>
      <c r="M117" s="2596"/>
      <c r="N117" s="2596"/>
      <c r="O117" s="2596"/>
      <c r="P117" s="2596"/>
      <c r="Q117" s="2596"/>
      <c r="R117" s="2596"/>
      <c r="S117" s="2596"/>
      <c r="T117" s="2596"/>
      <c r="U117" s="2596"/>
      <c r="V117" s="2596"/>
      <c r="W117" s="2596"/>
      <c r="X117" s="2596"/>
      <c r="Y117" s="2596"/>
      <c r="Z117" s="2596"/>
      <c r="AA117" s="2596"/>
      <c r="AB117" s="2596"/>
      <c r="AC117" s="2596"/>
      <c r="AD117" s="2596"/>
      <c r="AE117" s="2596"/>
      <c r="AF117" s="2596"/>
      <c r="AG117" s="2596"/>
      <c r="AH117" s="2596"/>
      <c r="AI117" s="2596"/>
      <c r="AJ117" s="2597"/>
      <c r="AK117" s="540"/>
      <c r="AL117" s="540"/>
      <c r="AM117" s="540"/>
      <c r="AN117" s="535"/>
      <c r="AO117" s="536" t="str">
        <f>Application!B732</f>
        <v>2 Bedrooms</v>
      </c>
      <c r="AQ117" s="536">
        <f>Application!O732</f>
        <v>1727</v>
      </c>
      <c r="AU117" s="852" t="str">
        <f>O123</f>
        <v>2-bedroom</v>
      </c>
      <c r="AV117" s="536">
        <f t="array" ref="AV117">SUM(IF(Application!B726:F760="2 Bedrooms",Application!G726:J760))</f>
        <v>83</v>
      </c>
      <c r="AW117" s="1006">
        <f>AV117/AV121</f>
        <v>0.35021097046413502</v>
      </c>
    </row>
    <row r="118" spans="1:52" s="536" customFormat="1" ht="12.75" customHeight="1">
      <c r="A118" s="540"/>
      <c r="B118" s="539"/>
      <c r="C118" s="539"/>
      <c r="D118" s="539"/>
      <c r="E118" s="2595"/>
      <c r="F118" s="2596"/>
      <c r="G118" s="2596"/>
      <c r="H118" s="2596"/>
      <c r="I118" s="2596"/>
      <c r="J118" s="2596"/>
      <c r="K118" s="2596"/>
      <c r="L118" s="2596"/>
      <c r="M118" s="2596"/>
      <c r="N118" s="2596"/>
      <c r="O118" s="2596"/>
      <c r="P118" s="2596"/>
      <c r="Q118" s="2596"/>
      <c r="R118" s="2596"/>
      <c r="S118" s="2596"/>
      <c r="T118" s="2596"/>
      <c r="U118" s="2596"/>
      <c r="V118" s="2596"/>
      <c r="W118" s="2596"/>
      <c r="X118" s="2596"/>
      <c r="Y118" s="2596"/>
      <c r="Z118" s="2596"/>
      <c r="AA118" s="2596"/>
      <c r="AB118" s="2596"/>
      <c r="AC118" s="2596"/>
      <c r="AD118" s="2596"/>
      <c r="AE118" s="2596"/>
      <c r="AF118" s="2596"/>
      <c r="AG118" s="2596"/>
      <c r="AH118" s="2596"/>
      <c r="AI118" s="2596"/>
      <c r="AJ118" s="2597"/>
      <c r="AK118" s="540"/>
      <c r="AL118" s="540"/>
      <c r="AM118" s="540"/>
      <c r="AN118" s="535"/>
      <c r="AO118" s="536" t="str">
        <f>Application!B733</f>
        <v>3 Bedrooms</v>
      </c>
      <c r="AQ118" s="536">
        <f>Application!O733</f>
        <v>841</v>
      </c>
      <c r="AU118" s="852" t="str">
        <f>T123</f>
        <v>3-bedroom</v>
      </c>
      <c r="AV118" s="536">
        <f t="array" ref="AV118">SUM(IF(Application!B726:F760="3 Bedrooms",Application!G726:J760))</f>
        <v>82</v>
      </c>
      <c r="AW118" s="1006">
        <f>AV118/AV121</f>
        <v>0.34599156118143459</v>
      </c>
    </row>
    <row r="119" spans="1:52" s="536" customFormat="1" ht="12.75" customHeight="1">
      <c r="A119" s="540"/>
      <c r="B119" s="539"/>
      <c r="C119" s="539"/>
      <c r="D119" s="539"/>
      <c r="E119" s="2595"/>
      <c r="F119" s="2596"/>
      <c r="G119" s="2596"/>
      <c r="H119" s="2596"/>
      <c r="I119" s="2596"/>
      <c r="J119" s="2596"/>
      <c r="K119" s="2596"/>
      <c r="L119" s="2596"/>
      <c r="M119" s="2596"/>
      <c r="N119" s="2596"/>
      <c r="O119" s="2596"/>
      <c r="P119" s="2596"/>
      <c r="Q119" s="2596"/>
      <c r="R119" s="2596"/>
      <c r="S119" s="2596"/>
      <c r="T119" s="2596"/>
      <c r="U119" s="2596"/>
      <c r="V119" s="2596"/>
      <c r="W119" s="2596"/>
      <c r="X119" s="2596"/>
      <c r="Y119" s="2596"/>
      <c r="Z119" s="2596"/>
      <c r="AA119" s="2596"/>
      <c r="AB119" s="2596"/>
      <c r="AC119" s="2596"/>
      <c r="AD119" s="2596"/>
      <c r="AE119" s="2596"/>
      <c r="AF119" s="2596"/>
      <c r="AG119" s="2596"/>
      <c r="AH119" s="2596"/>
      <c r="AI119" s="2596"/>
      <c r="AJ119" s="2597"/>
      <c r="AK119" s="540"/>
      <c r="AL119" s="540"/>
      <c r="AM119" s="540"/>
      <c r="AN119" s="535"/>
      <c r="AO119" s="536" t="str">
        <f>Application!B734</f>
        <v>3 Bedrooms</v>
      </c>
      <c r="AQ119" s="536">
        <f>Application!O734</f>
        <v>1423</v>
      </c>
      <c r="AU119" s="852" t="str">
        <f>Y123</f>
        <v>4-bedroom</v>
      </c>
      <c r="AV119" s="536">
        <f t="array" ref="AV119">SUM(IF(Application!B726:F760="4 Bedrooms",Application!G726:J760))</f>
        <v>36</v>
      </c>
      <c r="AW119" s="1006">
        <f>AV119/AV121</f>
        <v>0.15189873417721519</v>
      </c>
    </row>
    <row r="120" spans="1:52" s="536" customFormat="1" ht="12.75" customHeight="1">
      <c r="A120" s="540"/>
      <c r="B120" s="539"/>
      <c r="C120" s="539"/>
      <c r="D120" s="539"/>
      <c r="E120" s="2595"/>
      <c r="F120" s="2596"/>
      <c r="G120" s="2596"/>
      <c r="H120" s="2596"/>
      <c r="I120" s="2596"/>
      <c r="J120" s="2596"/>
      <c r="K120" s="2596"/>
      <c r="L120" s="2596"/>
      <c r="M120" s="2596"/>
      <c r="N120" s="2596"/>
      <c r="O120" s="2596"/>
      <c r="P120" s="2596"/>
      <c r="Q120" s="2596"/>
      <c r="R120" s="2596"/>
      <c r="S120" s="2596"/>
      <c r="T120" s="2596"/>
      <c r="U120" s="2596"/>
      <c r="V120" s="2596"/>
      <c r="W120" s="2596"/>
      <c r="X120" s="2596"/>
      <c r="Y120" s="2596"/>
      <c r="Z120" s="2596"/>
      <c r="AA120" s="2596"/>
      <c r="AB120" s="2596"/>
      <c r="AC120" s="2596"/>
      <c r="AD120" s="2596"/>
      <c r="AE120" s="2596"/>
      <c r="AF120" s="2596"/>
      <c r="AG120" s="2596"/>
      <c r="AH120" s="2596"/>
      <c r="AI120" s="2596"/>
      <c r="AJ120" s="2597"/>
      <c r="AK120" s="540"/>
      <c r="AL120" s="540"/>
      <c r="AM120" s="540"/>
      <c r="AN120" s="535"/>
      <c r="AO120" s="536" t="str">
        <f>Application!B735</f>
        <v>3 Bedrooms</v>
      </c>
      <c r="AQ120" s="536">
        <f>Application!O735</f>
        <v>1714</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5"/>
      <c r="F121" s="2596"/>
      <c r="G121" s="2596"/>
      <c r="H121" s="2596"/>
      <c r="I121" s="2596"/>
      <c r="J121" s="2596"/>
      <c r="K121" s="2596"/>
      <c r="L121" s="2596"/>
      <c r="M121" s="2596"/>
      <c r="N121" s="2596"/>
      <c r="O121" s="2596"/>
      <c r="P121" s="2596"/>
      <c r="Q121" s="2596"/>
      <c r="R121" s="2596"/>
      <c r="S121" s="2596"/>
      <c r="T121" s="2596"/>
      <c r="U121" s="2596"/>
      <c r="V121" s="2596"/>
      <c r="W121" s="2596"/>
      <c r="X121" s="2596"/>
      <c r="Y121" s="2596"/>
      <c r="Z121" s="2596"/>
      <c r="AA121" s="2596"/>
      <c r="AB121" s="2596"/>
      <c r="AC121" s="2596"/>
      <c r="AD121" s="2596"/>
      <c r="AE121" s="2596"/>
      <c r="AF121" s="2596"/>
      <c r="AG121" s="2596"/>
      <c r="AH121" s="2596"/>
      <c r="AI121" s="2596"/>
      <c r="AJ121" s="2597"/>
      <c r="AK121" s="540"/>
      <c r="AL121" s="540"/>
      <c r="AM121" s="540"/>
      <c r="AN121" s="535"/>
      <c r="AO121" s="536" t="str">
        <f>Application!B736</f>
        <v>3 Bedrooms</v>
      </c>
      <c r="AQ121" s="536">
        <f>Application!O736</f>
        <v>2005</v>
      </c>
      <c r="AV121" s="536">
        <f>SUM(AV115:AV120)</f>
        <v>237</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4 Bedrooms</v>
      </c>
      <c r="AQ122" s="536">
        <f>Application!O737</f>
        <v>936</v>
      </c>
    </row>
    <row r="123" spans="1:52" s="536" customFormat="1" ht="12.75" customHeight="1">
      <c r="A123" s="540"/>
      <c r="B123" s="539"/>
      <c r="C123" s="540"/>
      <c r="D123" s="540"/>
      <c r="E123" s="2604" t="s">
        <v>1575</v>
      </c>
      <c r="F123" s="2605"/>
      <c r="G123" s="2605"/>
      <c r="H123" s="2605"/>
      <c r="I123" s="575"/>
      <c r="J123" s="2605" t="s">
        <v>1618</v>
      </c>
      <c r="K123" s="2605"/>
      <c r="L123" s="2605"/>
      <c r="M123" s="2605"/>
      <c r="N123" s="575"/>
      <c r="O123" s="2605" t="s">
        <v>1619</v>
      </c>
      <c r="P123" s="2605"/>
      <c r="Q123" s="2605"/>
      <c r="R123" s="2605"/>
      <c r="S123" s="575"/>
      <c r="T123" s="2605" t="s">
        <v>1326</v>
      </c>
      <c r="U123" s="2605"/>
      <c r="V123" s="2605"/>
      <c r="W123" s="2605"/>
      <c r="X123" s="575"/>
      <c r="Y123" s="2605" t="s">
        <v>1620</v>
      </c>
      <c r="Z123" s="2605"/>
      <c r="AA123" s="2605"/>
      <c r="AB123" s="2605"/>
      <c r="AC123" s="575"/>
      <c r="AD123" s="2605" t="s">
        <v>1621</v>
      </c>
      <c r="AE123" s="2605"/>
      <c r="AF123" s="2605"/>
      <c r="AG123" s="2605"/>
      <c r="AH123" s="575"/>
      <c r="AI123" s="575"/>
      <c r="AJ123" s="577"/>
      <c r="AK123" s="540"/>
      <c r="AL123" s="540"/>
      <c r="AM123" s="540"/>
      <c r="AN123" s="535"/>
      <c r="AO123" s="536" t="str">
        <f>Application!B738</f>
        <v>4 Bedrooms</v>
      </c>
      <c r="AQ123" s="536">
        <f>Application!O738</f>
        <v>1585</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4 Bedrooms</v>
      </c>
      <c r="AQ124" s="536">
        <f>Application!O739</f>
        <v>1910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4 Bedrooms</v>
      </c>
      <c r="AQ125" s="536">
        <f>Application!O740</f>
        <v>2234</v>
      </c>
    </row>
    <row r="126" spans="1:52" s="536" customFormat="1" ht="12.75" customHeight="1">
      <c r="A126" s="540"/>
      <c r="B126" s="539"/>
      <c r="C126" s="540"/>
      <c r="D126" s="540"/>
      <c r="E126" s="2606"/>
      <c r="F126" s="2607"/>
      <c r="G126" s="2607"/>
      <c r="H126" s="2607"/>
      <c r="I126" s="860"/>
      <c r="J126" s="2607">
        <v>1818</v>
      </c>
      <c r="K126" s="2607"/>
      <c r="L126" s="2607"/>
      <c r="M126" s="2607"/>
      <c r="N126" s="860"/>
      <c r="O126" s="2607">
        <v>2166</v>
      </c>
      <c r="P126" s="2607"/>
      <c r="Q126" s="2607"/>
      <c r="R126" s="2607"/>
      <c r="S126" s="860"/>
      <c r="T126" s="2607">
        <v>2360</v>
      </c>
      <c r="U126" s="2607"/>
      <c r="V126" s="2607"/>
      <c r="W126" s="2607"/>
      <c r="X126" s="860"/>
      <c r="Y126" s="2607">
        <v>2523</v>
      </c>
      <c r="Z126" s="2607"/>
      <c r="AA126" s="2607"/>
      <c r="AB126" s="2607"/>
      <c r="AC126" s="860"/>
      <c r="AD126" s="2607"/>
      <c r="AE126" s="2607"/>
      <c r="AF126" s="2607"/>
      <c r="AG126" s="260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0">
        <f>Application!DX678</f>
        <v>0</v>
      </c>
      <c r="F129" s="2614"/>
      <c r="G129" s="2614"/>
      <c r="H129" s="2614"/>
      <c r="I129" s="860"/>
      <c r="J129" s="2614">
        <f>Application!EC678</f>
        <v>893.66666666666674</v>
      </c>
      <c r="K129" s="2614"/>
      <c r="L129" s="2614"/>
      <c r="M129" s="2614"/>
      <c r="N129" s="860"/>
      <c r="O129" s="2614">
        <f>Application!EH678</f>
        <v>1456.8072289156628</v>
      </c>
      <c r="P129" s="2614"/>
      <c r="Q129" s="2614"/>
      <c r="R129" s="2614"/>
      <c r="S129" s="864"/>
      <c r="T129" s="2614">
        <f>Application!EM678</f>
        <v>1706.9024390243899</v>
      </c>
      <c r="U129" s="2614"/>
      <c r="V129" s="2614"/>
      <c r="W129" s="2614"/>
      <c r="X129" s="864"/>
      <c r="Y129" s="2614">
        <f>Application!ER678</f>
        <v>1963.7777777777778</v>
      </c>
      <c r="Z129" s="2614"/>
      <c r="AA129" s="2614"/>
      <c r="AB129" s="2614"/>
      <c r="AC129" s="864"/>
      <c r="AD129" s="2614">
        <f>Application!EW678</f>
        <v>0</v>
      </c>
      <c r="AE129" s="2614"/>
      <c r="AF129" s="2614"/>
      <c r="AG129" s="261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2" t="e">
        <f>(E126-E129)/E126</f>
        <v>#DIV/0!</v>
      </c>
      <c r="F132" s="2423"/>
      <c r="G132" s="2423"/>
      <c r="H132" s="2424"/>
      <c r="I132" s="575"/>
      <c r="J132" s="2422">
        <f>(J126-J129)/J126</f>
        <v>0.50843417675100844</v>
      </c>
      <c r="K132" s="2423"/>
      <c r="L132" s="2423"/>
      <c r="M132" s="2424"/>
      <c r="N132" s="575"/>
      <c r="O132" s="2422">
        <f>(O126-O129)/O126</f>
        <v>0.32742048526516032</v>
      </c>
      <c r="P132" s="2423"/>
      <c r="Q132" s="2423"/>
      <c r="R132" s="2424"/>
      <c r="S132" s="575"/>
      <c r="T132" s="2422">
        <f>(T126-T129)/T126</f>
        <v>0.27673625465068225</v>
      </c>
      <c r="U132" s="2423"/>
      <c r="V132" s="2423"/>
      <c r="W132" s="2424"/>
      <c r="X132" s="575"/>
      <c r="Y132" s="2422">
        <f>(Y126-Y129)/Y126</f>
        <v>0.22164971154269605</v>
      </c>
      <c r="Z132" s="2423"/>
      <c r="AA132" s="2423"/>
      <c r="AB132" s="2424"/>
      <c r="AC132" s="575"/>
      <c r="AD132" s="2422" t="e">
        <f>(AD126-AD129)/AD126</f>
        <v>#DIV/0!</v>
      </c>
      <c r="AE132" s="2423"/>
      <c r="AF132" s="2423"/>
      <c r="AG132" s="24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1" t="e">
        <f>IF(((E132-0.1)*AW115)&gt;0,((E132-0.1)*AW115),0)</f>
        <v>#DIV/0!</v>
      </c>
      <c r="F135" s="2612"/>
      <c r="G135" s="2612"/>
      <c r="H135" s="2613"/>
      <c r="I135" s="575"/>
      <c r="J135" s="2611">
        <f>IF(((J132-0.1)*AW116)&gt;0,((J132-0.1)*AW116),0)</f>
        <v>6.2040634443191162E-2</v>
      </c>
      <c r="K135" s="2612"/>
      <c r="L135" s="2612"/>
      <c r="M135" s="2613"/>
      <c r="N135" s="575"/>
      <c r="O135" s="2611">
        <f>IF(((O132-0.1)*AW117)&gt;0,((O132-0.1)*AW117),0)</f>
        <v>7.964514884813631E-2</v>
      </c>
      <c r="P135" s="2612"/>
      <c r="Q135" s="2612"/>
      <c r="R135" s="2613"/>
      <c r="S135" s="575"/>
      <c r="T135" s="2611">
        <f>IF(((T132-0.1)*AW118)&gt;0,((T132-0.1)*AW118),0)</f>
        <v>6.1149252663949126E-2</v>
      </c>
      <c r="U135" s="2612"/>
      <c r="V135" s="2612"/>
      <c r="W135" s="2613"/>
      <c r="X135" s="575"/>
      <c r="Y135" s="2611">
        <f>IF(((Y132-0.1)*AW119)&gt;0,((Y132-0.1)*AW119),0)</f>
        <v>1.8478437196358895E-2</v>
      </c>
      <c r="Z135" s="2612"/>
      <c r="AA135" s="2612"/>
      <c r="AB135" s="2613"/>
      <c r="AC135" s="575"/>
      <c r="AD135" s="2611" t="e">
        <f>IF(((AD132-0.1)*AW120)&gt;0,((AD132-0.1)*AW120),0)</f>
        <v>#DIV/0!</v>
      </c>
      <c r="AE135" s="2612"/>
      <c r="AF135" s="2612"/>
      <c r="AG135" s="2613"/>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2">
        <f>ROUNDDOWN(SUMIF(E135:AG135,"&gt;0"),2)</f>
        <v>0.22</v>
      </c>
      <c r="F137" s="2423"/>
      <c r="G137" s="2423"/>
      <c r="H137" s="2424"/>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3">
        <f>IF((E137*100)&gt;10,10,E137*100)</f>
        <v>10</v>
      </c>
      <c r="F138" s="2584"/>
      <c r="G138" s="2584"/>
      <c r="H138" s="2585"/>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83">
        <f>E138</f>
        <v>10</v>
      </c>
      <c r="AL142" s="2584"/>
      <c r="AM142" s="258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49" t="s">
        <v>1306</v>
      </c>
      <c r="AF145" s="2449"/>
      <c r="AG145" s="2449"/>
      <c r="AH145" s="2449"/>
      <c r="AI145" s="2449"/>
      <c r="AJ145" s="2449"/>
      <c r="AK145" s="2449"/>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0" t="s">
        <v>1330</v>
      </c>
      <c r="AG147" s="2390"/>
      <c r="AH147" s="2390"/>
      <c r="AI147" s="2390"/>
      <c r="AJ147" s="2390"/>
      <c r="AK147" s="2390"/>
      <c r="AL147" s="2390"/>
      <c r="AM147" s="539"/>
      <c r="AN147" s="535"/>
    </row>
    <row r="148" spans="1:42" s="536" customFormat="1" ht="12.75" customHeight="1">
      <c r="A148" s="538"/>
      <c r="B148" s="538" t="s">
        <v>530</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7" t="s">
        <v>2655</v>
      </c>
      <c r="C149" s="2587"/>
      <c r="D149" s="2587"/>
      <c r="E149" s="2587"/>
      <c r="F149" s="2587"/>
      <c r="G149" s="2587"/>
      <c r="H149" s="2587"/>
      <c r="I149" s="2587"/>
      <c r="J149" s="2587"/>
      <c r="K149" s="2587"/>
      <c r="L149" s="2587"/>
      <c r="M149" s="2587"/>
      <c r="N149" s="2587"/>
      <c r="O149" s="2587"/>
      <c r="P149" s="2587"/>
      <c r="Q149" s="2587"/>
      <c r="R149" s="2587"/>
      <c r="S149" s="2587"/>
      <c r="T149" s="2587"/>
      <c r="U149" s="2587"/>
      <c r="V149" s="2587"/>
      <c r="W149" s="2587"/>
      <c r="X149" s="2587"/>
      <c r="Y149" s="2587"/>
      <c r="Z149" s="2587"/>
      <c r="AA149" s="2587"/>
      <c r="AB149" s="2587"/>
      <c r="AC149" s="2587"/>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88" t="s">
        <v>1333</v>
      </c>
      <c r="C152" s="2588"/>
      <c r="D152" s="2588"/>
      <c r="E152" s="2588"/>
      <c r="F152" s="2588"/>
      <c r="G152" s="2588"/>
      <c r="H152" s="2588"/>
      <c r="I152" s="2588"/>
      <c r="J152" s="2588"/>
      <c r="K152" s="2588"/>
      <c r="L152" s="2588"/>
      <c r="M152" s="2588"/>
      <c r="N152" s="2588"/>
      <c r="O152" s="2588"/>
      <c r="P152" s="2588"/>
      <c r="Q152" s="2588"/>
      <c r="R152" s="2588"/>
      <c r="S152" s="2588"/>
      <c r="T152" s="2588"/>
      <c r="U152" s="2588"/>
      <c r="V152" s="2588"/>
      <c r="W152" s="2588"/>
      <c r="X152" s="2588"/>
      <c r="Y152" s="2588"/>
      <c r="Z152" s="2588"/>
      <c r="AA152" s="2588"/>
      <c r="AB152" s="2588"/>
      <c r="AC152" s="2588"/>
      <c r="AD152" s="2588"/>
      <c r="AE152" s="2588"/>
      <c r="AF152" s="2588"/>
      <c r="AG152" s="2588"/>
      <c r="AH152" s="2588"/>
      <c r="AI152" s="2588"/>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1334</v>
      </c>
      <c r="AB154" s="2397" t="s">
        <v>589</v>
      </c>
      <c r="AC154" s="239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88" t="s">
        <v>1335</v>
      </c>
      <c r="C157" s="2588"/>
      <c r="D157" s="2588"/>
      <c r="E157" s="2588"/>
      <c r="F157" s="2588"/>
      <c r="G157" s="2588"/>
      <c r="H157" s="2588"/>
      <c r="I157" s="2588"/>
      <c r="J157" s="2588"/>
      <c r="K157" s="2588"/>
      <c r="L157" s="2588"/>
      <c r="M157" s="2588"/>
      <c r="N157" s="2588"/>
      <c r="O157" s="2588"/>
      <c r="P157" s="2588"/>
      <c r="Q157" s="2588"/>
      <c r="R157" s="2588"/>
      <c r="S157" s="2588"/>
      <c r="T157" s="2588"/>
      <c r="U157" s="2588"/>
      <c r="V157" s="2588"/>
      <c r="W157" s="2588"/>
      <c r="X157" s="2588"/>
      <c r="Y157" s="2588"/>
      <c r="Z157" s="2588"/>
      <c r="AA157" s="2588"/>
      <c r="AB157" s="2588"/>
      <c r="AC157" s="2588"/>
      <c r="AD157" s="2588"/>
      <c r="AE157" s="2588"/>
      <c r="AF157" s="2588"/>
      <c r="AG157" s="2588"/>
      <c r="AH157" s="2588"/>
      <c r="AI157" s="2588"/>
      <c r="AJ157" s="2588"/>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4" t="s">
        <v>2403</v>
      </c>
      <c r="C160" s="2394"/>
      <c r="D160" s="2394"/>
      <c r="E160" s="2394"/>
      <c r="F160" s="2394"/>
      <c r="G160" s="2394"/>
      <c r="H160" s="2394"/>
      <c r="I160" s="2394"/>
      <c r="J160" s="2394"/>
      <c r="K160" s="2394"/>
      <c r="L160" s="2394"/>
      <c r="M160" s="2394"/>
      <c r="N160" s="2394"/>
      <c r="O160" s="2394"/>
      <c r="P160" s="2394"/>
      <c r="Q160" s="2394"/>
      <c r="R160" s="2394"/>
      <c r="S160" s="2394"/>
      <c r="T160" s="2394"/>
      <c r="U160" s="2394"/>
      <c r="V160" s="2394"/>
      <c r="W160" s="2394"/>
      <c r="X160" s="2394"/>
      <c r="Y160" s="2394"/>
      <c r="Z160" s="2394"/>
      <c r="AA160" s="2394"/>
      <c r="AB160" s="2394"/>
      <c r="AC160" s="2394"/>
      <c r="AD160" s="2394"/>
      <c r="AE160" s="2394"/>
      <c r="AF160" s="2394"/>
      <c r="AG160" s="2394"/>
      <c r="AH160" s="2394"/>
      <c r="AI160" s="2394"/>
      <c r="AJ160" s="2394"/>
      <c r="AK160" s="1173"/>
      <c r="AM160" s="539"/>
      <c r="AN160" s="535"/>
      <c r="AO160" s="476"/>
      <c r="AP160" s="489"/>
    </row>
    <row r="161" spans="1:42" s="536" customFormat="1" ht="12.75" customHeight="1">
      <c r="B161" s="2394"/>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73"/>
      <c r="AM161" s="539"/>
      <c r="AN161" s="535"/>
      <c r="AO161" s="476"/>
      <c r="AP161" s="489"/>
    </row>
    <row r="162" spans="1:42" s="536" customFormat="1" ht="12.75" customHeight="1">
      <c r="C162" s="2395" t="s">
        <v>2404</v>
      </c>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73"/>
      <c r="AM162" s="539"/>
      <c r="AN162" s="535"/>
      <c r="AO162" s="476"/>
      <c r="AP162" s="489"/>
    </row>
    <row r="163" spans="1:42" s="536" customFormat="1" ht="12.75" customHeight="1">
      <c r="B163" s="1173"/>
      <c r="C163" s="2396" t="s">
        <v>2402</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1163"/>
      <c r="AB163" s="1163"/>
      <c r="AC163" s="1163"/>
      <c r="AD163" s="1163"/>
      <c r="AE163" s="1163"/>
      <c r="AF163" s="1163"/>
      <c r="AG163" s="1163"/>
      <c r="AH163" s="1163"/>
      <c r="AJ163" s="2397" t="s">
        <v>589</v>
      </c>
      <c r="AK163" s="239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89">
        <f>IF($AB$154="N/A",VLOOKUP($B$152,$AO$150:$AP$153,2,FALSE),VLOOKUP($B$157,$AO$155:$AP$157,2,FALSE))</f>
        <v>7</v>
      </c>
      <c r="AK165" s="2489"/>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0" t="s">
        <v>1344</v>
      </c>
      <c r="AG167" s="2390"/>
      <c r="AH167" s="2390"/>
      <c r="AI167" s="2390"/>
      <c r="AJ167" s="2390"/>
      <c r="AK167" s="2390"/>
      <c r="AL167" s="2390"/>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8" t="s">
        <v>1342</v>
      </c>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7" t="s">
        <v>589</v>
      </c>
      <c r="AG171" s="2397"/>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588" t="s">
        <v>1335</v>
      </c>
      <c r="D173" s="2588"/>
      <c r="E173" s="2588"/>
      <c r="F173" s="2588"/>
      <c r="G173" s="2588"/>
      <c r="H173" s="2588"/>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89" t="str">
        <f>Application!AA344</f>
        <v>Cornerstone Residential CA, Inc.</v>
      </c>
      <c r="D177" s="2589"/>
      <c r="E177" s="2589"/>
      <c r="F177" s="2589"/>
      <c r="G177" s="2589"/>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88">
        <f>IF($AF$171="N/A",VLOOKUP($C$169,$AO$169:$AP$172,2,FALSE),VLOOKUP($C$173,$AO$176:$AP$178,2,FALSE))</f>
        <v>3</v>
      </c>
      <c r="AK179" s="2488"/>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83">
        <f>$AJ$165+$AJ$179</f>
        <v>10</v>
      </c>
      <c r="AL182" s="2584"/>
      <c r="AM182" s="258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9" t="s">
        <v>1306</v>
      </c>
      <c r="AF185" s="2449"/>
      <c r="AG185" s="2449"/>
      <c r="AH185" s="2449"/>
      <c r="AI185" s="2449"/>
      <c r="AJ185" s="2449"/>
      <c r="AK185" s="2449"/>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86" t="s">
        <v>1039</v>
      </c>
      <c r="C187" s="2586"/>
      <c r="D187" s="2586"/>
      <c r="E187" s="2586"/>
      <c r="F187" s="2586"/>
      <c r="G187" s="2586"/>
      <c r="H187" s="2586"/>
      <c r="I187" s="2586"/>
      <c r="J187" s="2586"/>
      <c r="K187" s="2586"/>
      <c r="L187" s="2586"/>
      <c r="M187" s="2586"/>
      <c r="N187" s="2586"/>
      <c r="O187" s="2586"/>
      <c r="P187" s="2586"/>
      <c r="Q187" s="2586"/>
      <c r="R187" s="2586"/>
      <c r="S187" s="2586"/>
      <c r="T187" s="2586"/>
      <c r="U187" s="2586"/>
      <c r="V187" s="2586"/>
      <c r="W187" s="2586"/>
      <c r="X187" s="2586"/>
      <c r="Y187" s="2586"/>
      <c r="Z187" s="2586"/>
      <c r="AA187" s="2586"/>
      <c r="AB187" s="2586"/>
      <c r="AC187" s="2586"/>
      <c r="AD187" s="536"/>
      <c r="AE187" s="536"/>
      <c r="AF187" s="2390" t="s">
        <v>1355</v>
      </c>
      <c r="AG187" s="2390"/>
      <c r="AH187" s="2390"/>
      <c r="AI187" s="2390"/>
      <c r="AJ187" s="2390"/>
      <c r="AK187" s="2390"/>
      <c r="AL187" s="2390"/>
      <c r="AN187" s="595"/>
      <c r="AP187" s="549" t="s">
        <v>1041</v>
      </c>
      <c r="AQ187" s="549">
        <v>10</v>
      </c>
    </row>
    <row r="188" spans="1:73" s="549" customFormat="1" ht="12.75" customHeight="1">
      <c r="A188" s="536"/>
      <c r="B188" s="2396" t="s">
        <v>1713</v>
      </c>
      <c r="C188" s="2396"/>
      <c r="D188" s="2396"/>
      <c r="E188" s="2396"/>
      <c r="F188" s="2396"/>
      <c r="G188" s="2396"/>
      <c r="H188" s="2396"/>
      <c r="I188" s="2396"/>
      <c r="J188" s="2396"/>
      <c r="K188" s="2396"/>
      <c r="L188" s="2396"/>
      <c r="M188" s="2396"/>
      <c r="N188" s="2396"/>
      <c r="O188" s="2396"/>
      <c r="P188" s="2396"/>
      <c r="Q188" s="2396"/>
      <c r="R188" s="2396"/>
      <c r="S188" s="2396"/>
      <c r="T188" s="2587" t="s">
        <v>589</v>
      </c>
      <c r="U188" s="2587"/>
      <c r="V188" s="2587"/>
      <c r="W188" s="2587"/>
      <c r="X188" s="2587"/>
      <c r="Y188" s="2587"/>
      <c r="Z188" s="2587"/>
      <c r="AA188" s="2587"/>
      <c r="AB188" s="2587"/>
      <c r="AC188" s="2587"/>
      <c r="AD188" s="536"/>
      <c r="AE188" s="536"/>
      <c r="AF188" s="536"/>
      <c r="AG188" s="536"/>
      <c r="AH188" s="536"/>
      <c r="AI188" s="536"/>
      <c r="AJ188" s="543"/>
      <c r="AK188" s="593"/>
      <c r="AL188" s="593"/>
      <c r="AM188" s="593"/>
      <c r="AN188" s="595"/>
      <c r="AP188" s="549" t="s">
        <v>1356</v>
      </c>
      <c r="AQ188" s="549">
        <v>10</v>
      </c>
      <c r="AS188" s="549" t="s">
        <v>589</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392">
        <f>IF(AK83&gt;0,VLOOKUP($B$187,AP184:AQ190,2,FALSE),0)</f>
        <v>10</v>
      </c>
      <c r="AL190" s="2438"/>
      <c r="AM190" s="2393"/>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9" t="s">
        <v>1363</v>
      </c>
      <c r="AF193" s="2449"/>
      <c r="AG193" s="2449"/>
      <c r="AH193" s="2449"/>
      <c r="AI193" s="2449"/>
      <c r="AJ193" s="2449"/>
      <c r="AK193" s="244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7"/>
      <c r="C198" s="2557"/>
      <c r="D198" s="2557"/>
      <c r="E198" s="2557"/>
      <c r="F198" s="2557"/>
      <c r="G198" s="2557"/>
      <c r="H198" s="2557"/>
      <c r="I198" s="2557"/>
      <c r="J198" s="2557"/>
      <c r="K198" s="2557"/>
      <c r="L198" s="2557"/>
      <c r="M198" s="2557"/>
      <c r="N198" s="2557"/>
      <c r="O198" s="2557"/>
      <c r="P198" s="2557"/>
      <c r="Q198" s="2557"/>
      <c r="R198" s="2557"/>
      <c r="S198" s="2557"/>
      <c r="T198" s="2557"/>
      <c r="U198" s="2557"/>
      <c r="V198" s="2557"/>
      <c r="W198" s="2557"/>
      <c r="X198" s="2557"/>
      <c r="Y198" s="2557"/>
      <c r="Z198" s="2557"/>
      <c r="AA198" s="2557"/>
      <c r="AB198" s="2557"/>
      <c r="AC198" s="842"/>
      <c r="AD198" s="2573"/>
      <c r="AE198" s="2573"/>
      <c r="AF198" s="2573"/>
      <c r="AG198" s="2573"/>
      <c r="AH198" s="2573"/>
      <c r="AI198" s="2573"/>
      <c r="AJ198" s="2573"/>
      <c r="AK198" s="608"/>
    </row>
    <row r="199" spans="1:37" hidden="1">
      <c r="A199" s="603"/>
      <c r="B199" s="2557"/>
      <c r="C199" s="2557"/>
      <c r="D199" s="2557"/>
      <c r="E199" s="2557"/>
      <c r="F199" s="2557"/>
      <c r="G199" s="2557"/>
      <c r="H199" s="2557"/>
      <c r="I199" s="2557"/>
      <c r="J199" s="2557"/>
      <c r="K199" s="2557"/>
      <c r="L199" s="2557"/>
      <c r="M199" s="2557"/>
      <c r="N199" s="2557"/>
      <c r="O199" s="2557"/>
      <c r="P199" s="2557"/>
      <c r="Q199" s="2557"/>
      <c r="R199" s="2557"/>
      <c r="S199" s="2557"/>
      <c r="T199" s="2557"/>
      <c r="U199" s="2557"/>
      <c r="V199" s="2557"/>
      <c r="W199" s="2557"/>
      <c r="X199" s="2557"/>
      <c r="Y199" s="2557"/>
      <c r="Z199" s="2557"/>
      <c r="AA199" s="2557"/>
      <c r="AB199" s="2557"/>
      <c r="AC199" s="842"/>
      <c r="AD199" s="2573"/>
      <c r="AE199" s="2573"/>
      <c r="AF199" s="2573"/>
      <c r="AG199" s="2573"/>
      <c r="AH199" s="2573"/>
      <c r="AI199" s="2573"/>
      <c r="AJ199" s="2573"/>
      <c r="AK199" s="608"/>
    </row>
    <row r="200" spans="1:37" hidden="1">
      <c r="A200" s="603"/>
      <c r="B200" s="2557"/>
      <c r="C200" s="2557"/>
      <c r="D200" s="2557"/>
      <c r="E200" s="2557"/>
      <c r="F200" s="2557"/>
      <c r="G200" s="2557"/>
      <c r="H200" s="2557"/>
      <c r="I200" s="2557"/>
      <c r="J200" s="2557"/>
      <c r="K200" s="2557"/>
      <c r="L200" s="2557"/>
      <c r="M200" s="2557"/>
      <c r="N200" s="2557"/>
      <c r="O200" s="2557"/>
      <c r="P200" s="2557"/>
      <c r="Q200" s="2557"/>
      <c r="R200" s="2557"/>
      <c r="S200" s="2557"/>
      <c r="T200" s="2557"/>
      <c r="U200" s="2557"/>
      <c r="V200" s="2557"/>
      <c r="W200" s="2557"/>
      <c r="X200" s="2557"/>
      <c r="Y200" s="2557"/>
      <c r="Z200" s="2557"/>
      <c r="AA200" s="2557"/>
      <c r="AB200" s="2557"/>
      <c r="AC200" s="842"/>
      <c r="AD200" s="2573"/>
      <c r="AE200" s="2573"/>
      <c r="AF200" s="2573"/>
      <c r="AG200" s="2573"/>
      <c r="AH200" s="2573"/>
      <c r="AI200" s="2573"/>
      <c r="AJ200" s="2573"/>
      <c r="AK200" s="608"/>
    </row>
    <row r="201" spans="1:37" hidden="1">
      <c r="A201" s="603"/>
      <c r="B201" s="2557"/>
      <c r="C201" s="2557"/>
      <c r="D201" s="2557"/>
      <c r="E201" s="2557"/>
      <c r="F201" s="2557"/>
      <c r="G201" s="2557"/>
      <c r="H201" s="2557"/>
      <c r="I201" s="2557"/>
      <c r="J201" s="2557"/>
      <c r="K201" s="2557"/>
      <c r="L201" s="2557"/>
      <c r="M201" s="2557"/>
      <c r="N201" s="2557"/>
      <c r="O201" s="2557"/>
      <c r="P201" s="2557"/>
      <c r="Q201" s="2557"/>
      <c r="R201" s="2557"/>
      <c r="S201" s="2557"/>
      <c r="T201" s="2557"/>
      <c r="U201" s="2557"/>
      <c r="V201" s="2557"/>
      <c r="W201" s="2557"/>
      <c r="X201" s="2557"/>
      <c r="Y201" s="2557"/>
      <c r="Z201" s="2557"/>
      <c r="AA201" s="2557"/>
      <c r="AB201" s="2557"/>
      <c r="AC201" s="842"/>
      <c r="AD201" s="2573"/>
      <c r="AE201" s="2573"/>
      <c r="AF201" s="2573"/>
      <c r="AG201" s="2573"/>
      <c r="AH201" s="2573"/>
      <c r="AI201" s="2573"/>
      <c r="AJ201" s="2573"/>
      <c r="AK201" s="608"/>
    </row>
    <row r="202" spans="1:37" hidden="1">
      <c r="A202" s="603"/>
      <c r="B202" s="2557"/>
      <c r="C202" s="2557"/>
      <c r="D202" s="2557"/>
      <c r="E202" s="2557"/>
      <c r="F202" s="2557"/>
      <c r="G202" s="2557"/>
      <c r="H202" s="2557"/>
      <c r="I202" s="2557"/>
      <c r="J202" s="2557"/>
      <c r="K202" s="2557"/>
      <c r="L202" s="2557"/>
      <c r="M202" s="2557"/>
      <c r="N202" s="2557"/>
      <c r="O202" s="2557"/>
      <c r="P202" s="2557"/>
      <c r="Q202" s="2557"/>
      <c r="R202" s="2557"/>
      <c r="S202" s="2557"/>
      <c r="T202" s="2557"/>
      <c r="U202" s="2557"/>
      <c r="V202" s="2557"/>
      <c r="W202" s="2557"/>
      <c r="X202" s="2557"/>
      <c r="Y202" s="2557"/>
      <c r="Z202" s="2557"/>
      <c r="AA202" s="2557"/>
      <c r="AB202" s="2557"/>
      <c r="AC202" s="842"/>
      <c r="AD202" s="2573"/>
      <c r="AE202" s="2573"/>
      <c r="AF202" s="2573"/>
      <c r="AG202" s="2573"/>
      <c r="AH202" s="2573"/>
      <c r="AI202" s="2573"/>
      <c r="AJ202" s="2573"/>
      <c r="AK202" s="608"/>
    </row>
    <row r="203" spans="1:37" hidden="1">
      <c r="A203" s="603"/>
      <c r="B203" s="2557"/>
      <c r="C203" s="2557"/>
      <c r="D203" s="2557"/>
      <c r="E203" s="2557"/>
      <c r="F203" s="2557"/>
      <c r="G203" s="2557"/>
      <c r="H203" s="2557"/>
      <c r="I203" s="2557"/>
      <c r="J203" s="2557"/>
      <c r="K203" s="2557"/>
      <c r="L203" s="2557"/>
      <c r="M203" s="2557"/>
      <c r="N203" s="2557"/>
      <c r="O203" s="2557"/>
      <c r="P203" s="2557"/>
      <c r="Q203" s="2557"/>
      <c r="R203" s="2557"/>
      <c r="S203" s="2557"/>
      <c r="T203" s="2557"/>
      <c r="U203" s="2557"/>
      <c r="V203" s="2557"/>
      <c r="W203" s="2557"/>
      <c r="X203" s="2557"/>
      <c r="Y203" s="2557"/>
      <c r="Z203" s="2557"/>
      <c r="AA203" s="2557"/>
      <c r="AB203" s="2557"/>
      <c r="AC203" s="842"/>
      <c r="AD203" s="2573"/>
      <c r="AE203" s="2573"/>
      <c r="AF203" s="2573"/>
      <c r="AG203" s="2573"/>
      <c r="AH203" s="2573"/>
      <c r="AI203" s="2573"/>
      <c r="AJ203" s="2573"/>
      <c r="AK203" s="608"/>
    </row>
    <row r="204" spans="1:37" hidden="1">
      <c r="A204" s="603"/>
      <c r="B204" s="2557"/>
      <c r="C204" s="2557"/>
      <c r="D204" s="2557"/>
      <c r="E204" s="2557"/>
      <c r="F204" s="2557"/>
      <c r="G204" s="2557"/>
      <c r="H204" s="2557"/>
      <c r="I204" s="2557"/>
      <c r="J204" s="2557"/>
      <c r="K204" s="2557"/>
      <c r="L204" s="2557"/>
      <c r="M204" s="2557"/>
      <c r="N204" s="2557"/>
      <c r="O204" s="2557"/>
      <c r="P204" s="2557"/>
      <c r="Q204" s="2557"/>
      <c r="R204" s="2557"/>
      <c r="S204" s="2557"/>
      <c r="T204" s="2557"/>
      <c r="U204" s="2557"/>
      <c r="V204" s="2557"/>
      <c r="W204" s="2557"/>
      <c r="X204" s="2557"/>
      <c r="Y204" s="2557"/>
      <c r="Z204" s="2557"/>
      <c r="AA204" s="2557"/>
      <c r="AB204" s="2557"/>
      <c r="AC204" s="842"/>
      <c r="AD204" s="2573"/>
      <c r="AE204" s="2573"/>
      <c r="AF204" s="2573"/>
      <c r="AG204" s="2573"/>
      <c r="AH204" s="2573"/>
      <c r="AI204" s="2573"/>
      <c r="AJ204" s="2573"/>
      <c r="AK204" s="608"/>
    </row>
    <row r="205" spans="1:37" hidden="1">
      <c r="A205" s="603"/>
      <c r="B205" s="2557"/>
      <c r="C205" s="2557"/>
      <c r="D205" s="2557"/>
      <c r="E205" s="2557"/>
      <c r="F205" s="2557"/>
      <c r="G205" s="2557"/>
      <c r="H205" s="2557"/>
      <c r="I205" s="2557"/>
      <c r="J205" s="2557"/>
      <c r="K205" s="2557"/>
      <c r="L205" s="2557"/>
      <c r="M205" s="2557"/>
      <c r="N205" s="2557"/>
      <c r="O205" s="2557"/>
      <c r="P205" s="2557"/>
      <c r="Q205" s="2557"/>
      <c r="R205" s="2557"/>
      <c r="S205" s="2557"/>
      <c r="T205" s="2557"/>
      <c r="U205" s="2557"/>
      <c r="V205" s="2557"/>
      <c r="W205" s="2557"/>
      <c r="X205" s="2557"/>
      <c r="Y205" s="2557"/>
      <c r="Z205" s="2557"/>
      <c r="AA205" s="2557"/>
      <c r="AB205" s="2557"/>
      <c r="AC205" s="842"/>
      <c r="AD205" s="2573"/>
      <c r="AE205" s="2573"/>
      <c r="AF205" s="2573"/>
      <c r="AG205" s="2573"/>
      <c r="AH205" s="2573"/>
      <c r="AI205" s="2573"/>
      <c r="AJ205" s="2573"/>
      <c r="AK205" s="608"/>
    </row>
    <row r="206" spans="1:37" hidden="1">
      <c r="A206" s="603"/>
      <c r="B206" s="2557"/>
      <c r="C206" s="2557"/>
      <c r="D206" s="2557"/>
      <c r="E206" s="2557"/>
      <c r="F206" s="2557"/>
      <c r="G206" s="2557"/>
      <c r="H206" s="2557"/>
      <c r="I206" s="2557"/>
      <c r="J206" s="2557"/>
      <c r="K206" s="2557"/>
      <c r="L206" s="2557"/>
      <c r="M206" s="2557"/>
      <c r="N206" s="2557"/>
      <c r="O206" s="2557"/>
      <c r="P206" s="2557"/>
      <c r="Q206" s="2557"/>
      <c r="R206" s="2557"/>
      <c r="S206" s="2557"/>
      <c r="T206" s="2557"/>
      <c r="U206" s="2557"/>
      <c r="V206" s="2557"/>
      <c r="W206" s="2557"/>
      <c r="X206" s="2557"/>
      <c r="Y206" s="2557"/>
      <c r="Z206" s="2557"/>
      <c r="AA206" s="2557"/>
      <c r="AB206" s="2557"/>
      <c r="AC206" s="842"/>
      <c r="AD206" s="2573"/>
      <c r="AE206" s="2573"/>
      <c r="AF206" s="2573"/>
      <c r="AG206" s="2573"/>
      <c r="AH206" s="2573"/>
      <c r="AI206" s="2573"/>
      <c r="AJ206" s="2573"/>
      <c r="AK206" s="608"/>
    </row>
    <row r="207" spans="1:37" hidden="1">
      <c r="A207" s="603"/>
      <c r="B207" s="2557"/>
      <c r="C207" s="2557"/>
      <c r="D207" s="2557"/>
      <c r="E207" s="2557"/>
      <c r="F207" s="2557"/>
      <c r="G207" s="2557"/>
      <c r="H207" s="2557"/>
      <c r="I207" s="2557"/>
      <c r="J207" s="2557"/>
      <c r="K207" s="2557"/>
      <c r="L207" s="2557"/>
      <c r="M207" s="2557"/>
      <c r="N207" s="2557"/>
      <c r="O207" s="2557"/>
      <c r="P207" s="2557"/>
      <c r="Q207" s="2557"/>
      <c r="R207" s="2557"/>
      <c r="S207" s="2557"/>
      <c r="T207" s="2557"/>
      <c r="U207" s="2557"/>
      <c r="V207" s="2557"/>
      <c r="W207" s="2557"/>
      <c r="X207" s="2557"/>
      <c r="Y207" s="2557"/>
      <c r="Z207" s="2557"/>
      <c r="AA207" s="2557"/>
      <c r="AB207" s="2557"/>
      <c r="AC207" s="842"/>
      <c r="AD207" s="2573"/>
      <c r="AE207" s="2573"/>
      <c r="AF207" s="2573"/>
      <c r="AG207" s="2573"/>
      <c r="AH207" s="2573"/>
      <c r="AI207" s="2573"/>
      <c r="AJ207" s="2573"/>
      <c r="AK207" s="608"/>
    </row>
    <row r="208" spans="1:37" hidden="1">
      <c r="A208" s="603"/>
      <c r="B208" s="2566" t="s">
        <v>1614</v>
      </c>
      <c r="C208" s="2566"/>
      <c r="D208" s="2566"/>
      <c r="E208" s="2566"/>
      <c r="F208" s="2566"/>
      <c r="G208" s="2566"/>
      <c r="H208" s="2566"/>
      <c r="I208" s="2566"/>
      <c r="J208" s="2566"/>
      <c r="K208" s="2566"/>
      <c r="L208" s="2566"/>
      <c r="M208" s="2566"/>
      <c r="N208" s="2566"/>
      <c r="O208" s="2566"/>
      <c r="P208" s="2566"/>
      <c r="Q208" s="2566"/>
      <c r="R208" s="2566"/>
      <c r="S208" s="2566"/>
      <c r="T208" s="2566"/>
      <c r="U208" s="2566"/>
      <c r="V208" s="2566"/>
      <c r="W208" s="2566"/>
      <c r="X208" s="2566"/>
      <c r="Y208" s="2566"/>
      <c r="Z208" s="2566"/>
      <c r="AA208" s="2566"/>
      <c r="AB208" s="2566"/>
      <c r="AC208" s="536"/>
      <c r="AD208" s="2571">
        <f>AB259</f>
        <v>0</v>
      </c>
      <c r="AE208" s="2571"/>
      <c r="AF208" s="2571"/>
      <c r="AG208" s="2571"/>
      <c r="AH208" s="2571"/>
      <c r="AI208" s="2571"/>
      <c r="AJ208" s="2571"/>
      <c r="AK208" s="608"/>
    </row>
    <row r="209" spans="1:37" hidden="1">
      <c r="A209" s="603"/>
      <c r="B209" s="2412" t="s">
        <v>1577</v>
      </c>
      <c r="C209" s="2412"/>
      <c r="D209" s="2412"/>
      <c r="E209" s="2412"/>
      <c r="F209" s="2412"/>
      <c r="G209" s="2412"/>
      <c r="H209" s="2412"/>
      <c r="I209" s="2412"/>
      <c r="J209" s="2412"/>
      <c r="K209" s="2412"/>
      <c r="L209" s="2412"/>
      <c r="M209" s="2412"/>
      <c r="N209" s="2412"/>
      <c r="O209" s="2412"/>
      <c r="P209" s="2412"/>
      <c r="Q209" s="2412"/>
      <c r="R209" s="2412"/>
      <c r="S209" s="2412"/>
      <c r="T209" s="2412"/>
      <c r="U209" s="2412"/>
      <c r="V209" s="2412"/>
      <c r="W209" s="2412"/>
      <c r="X209" s="2412"/>
      <c r="Y209" s="2412"/>
      <c r="Z209" s="2412"/>
      <c r="AA209" s="2412"/>
      <c r="AB209" s="2412"/>
      <c r="AC209" s="842"/>
      <c r="AD209" s="2572">
        <f>'Sources and Uses Budget'!B15</f>
        <v>0</v>
      </c>
      <c r="AE209" s="2572"/>
      <c r="AF209" s="2572"/>
      <c r="AG209" s="2572"/>
      <c r="AH209" s="2572"/>
      <c r="AI209" s="2572"/>
      <c r="AJ209" s="2572"/>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577">
        <f>SUM(AD198:AJ208)-AD209</f>
        <v>0</v>
      </c>
      <c r="AE210" s="2577"/>
      <c r="AF210" s="2577"/>
      <c r="AG210" s="2577"/>
      <c r="AH210" s="2577"/>
      <c r="AI210" s="2577"/>
      <c r="AJ210" s="257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0" t="s">
        <v>1594</v>
      </c>
      <c r="J221" s="2600"/>
      <c r="K221" s="2600"/>
      <c r="L221" s="536"/>
      <c r="M221" s="536"/>
      <c r="N221" s="536"/>
      <c r="O221" s="536"/>
      <c r="P221" s="536"/>
      <c r="Q221" s="536"/>
      <c r="R221" s="536"/>
      <c r="S221" s="536"/>
      <c r="T221" s="2426" t="s">
        <v>1588</v>
      </c>
      <c r="U221" s="2426"/>
      <c r="V221" s="2426"/>
      <c r="W221" s="2426"/>
      <c r="X221" s="2426"/>
      <c r="Y221" s="2426"/>
      <c r="Z221" s="845"/>
      <c r="AA221" s="489"/>
      <c r="AB221" s="2590" t="s">
        <v>1589</v>
      </c>
      <c r="AC221" s="2590"/>
      <c r="AD221" s="2590"/>
      <c r="AE221" s="2590"/>
      <c r="AF221" s="2590"/>
      <c r="AG221" s="2590"/>
      <c r="AH221" s="823"/>
      <c r="AI221" s="823"/>
      <c r="AJ221" s="823"/>
      <c r="AK221" s="608"/>
    </row>
    <row r="222" spans="1:37" hidden="1">
      <c r="A222" s="603"/>
      <c r="B222" s="2598" t="s">
        <v>1574</v>
      </c>
      <c r="C222" s="2598"/>
      <c r="D222" s="2598"/>
      <c r="E222" s="2598"/>
      <c r="F222" s="2598"/>
      <c r="G222" s="2598"/>
      <c r="I222" s="2599" t="s">
        <v>1595</v>
      </c>
      <c r="J222" s="2599"/>
      <c r="K222" s="2599"/>
      <c r="L222" s="1003"/>
      <c r="N222" s="2413" t="s">
        <v>1590</v>
      </c>
      <c r="O222" s="2413"/>
      <c r="P222" s="2413"/>
      <c r="Q222" s="2413"/>
      <c r="R222" s="2413"/>
      <c r="T222" s="2413" t="s">
        <v>1591</v>
      </c>
      <c r="U222" s="2413"/>
      <c r="V222" s="2413"/>
      <c r="W222" s="2413"/>
      <c r="X222" s="2413"/>
      <c r="Y222" s="2413"/>
      <c r="Z222" s="846"/>
      <c r="AA222" s="489"/>
      <c r="AB222" s="2469" t="s">
        <v>1592</v>
      </c>
      <c r="AC222" s="2469"/>
      <c r="AD222" s="2469"/>
      <c r="AE222" s="2469"/>
      <c r="AF222" s="2469"/>
      <c r="AG222" s="2469"/>
      <c r="AH222" s="823"/>
      <c r="AI222" s="823"/>
      <c r="AJ222" s="823"/>
      <c r="AK222" s="608"/>
    </row>
    <row r="223" spans="1:37" hidden="1">
      <c r="A223" s="603"/>
      <c r="B223" s="2470" t="s">
        <v>1182</v>
      </c>
      <c r="C223" s="2470"/>
      <c r="D223" s="2470"/>
      <c r="E223" s="2470"/>
      <c r="F223" s="2470"/>
      <c r="G223" s="2470"/>
      <c r="H223" s="848"/>
      <c r="I223" s="2429"/>
      <c r="J223" s="2429"/>
      <c r="K223" s="2429"/>
      <c r="L223" s="1003"/>
      <c r="N223" s="2427"/>
      <c r="O223" s="2427"/>
      <c r="P223" s="2427"/>
      <c r="Q223" s="2427"/>
      <c r="R223" s="2427"/>
      <c r="T223" s="2409"/>
      <c r="U223" s="2409"/>
      <c r="V223" s="2409"/>
      <c r="W223" s="2409"/>
      <c r="X223" s="2409"/>
      <c r="Y223" s="2409"/>
      <c r="Z223" s="847"/>
      <c r="AA223" s="847"/>
      <c r="AB223" s="2407">
        <f t="shared" ref="AB223:AB232" si="0">MAX(($T223-$N223)*$I223*12,0)</f>
        <v>0</v>
      </c>
      <c r="AC223" s="2407"/>
      <c r="AD223" s="2407"/>
      <c r="AE223" s="2407"/>
      <c r="AF223" s="2407"/>
      <c r="AG223" s="2407"/>
      <c r="AH223" s="823"/>
      <c r="AI223" s="823"/>
      <c r="AJ223" s="823"/>
      <c r="AK223" s="608"/>
    </row>
    <row r="224" spans="1:37" hidden="1">
      <c r="A224" s="603"/>
      <c r="B224" s="2470" t="s">
        <v>1182</v>
      </c>
      <c r="C224" s="2470"/>
      <c r="D224" s="2470"/>
      <c r="E224" s="2470"/>
      <c r="F224" s="2470"/>
      <c r="G224" s="2470"/>
      <c r="I224" s="2429"/>
      <c r="J224" s="2429"/>
      <c r="K224" s="2429"/>
      <c r="L224" s="1003"/>
      <c r="N224" s="2427"/>
      <c r="O224" s="2427"/>
      <c r="P224" s="2427"/>
      <c r="Q224" s="2427"/>
      <c r="R224" s="2427"/>
      <c r="T224" s="2409"/>
      <c r="U224" s="2409"/>
      <c r="V224" s="2409"/>
      <c r="W224" s="2409"/>
      <c r="X224" s="2409"/>
      <c r="Y224" s="2409"/>
      <c r="Z224" s="847"/>
      <c r="AA224" s="847"/>
      <c r="AB224" s="2407">
        <f t="shared" si="0"/>
        <v>0</v>
      </c>
      <c r="AC224" s="2407"/>
      <c r="AD224" s="2407"/>
      <c r="AE224" s="2407"/>
      <c r="AF224" s="2407"/>
      <c r="AG224" s="2407"/>
      <c r="AH224" s="823"/>
      <c r="AI224" s="823"/>
      <c r="AJ224" s="823"/>
      <c r="AK224" s="608"/>
    </row>
    <row r="225" spans="1:37" hidden="1">
      <c r="A225" s="603"/>
      <c r="B225" s="2470" t="s">
        <v>1182</v>
      </c>
      <c r="C225" s="2470"/>
      <c r="D225" s="2470"/>
      <c r="E225" s="2470"/>
      <c r="F225" s="2470"/>
      <c r="G225" s="2470"/>
      <c r="I225" s="2429"/>
      <c r="J225" s="2429"/>
      <c r="K225" s="2429"/>
      <c r="L225" s="1003"/>
      <c r="N225" s="2427"/>
      <c r="O225" s="2427"/>
      <c r="P225" s="2427"/>
      <c r="Q225" s="2427"/>
      <c r="R225" s="2427"/>
      <c r="T225" s="2409"/>
      <c r="U225" s="2409"/>
      <c r="V225" s="2409"/>
      <c r="W225" s="2409"/>
      <c r="X225" s="2409"/>
      <c r="Y225" s="2409"/>
      <c r="Z225" s="847"/>
      <c r="AA225" s="847"/>
      <c r="AB225" s="2407">
        <f t="shared" si="0"/>
        <v>0</v>
      </c>
      <c r="AC225" s="2407"/>
      <c r="AD225" s="2407"/>
      <c r="AE225" s="2407"/>
      <c r="AF225" s="2407"/>
      <c r="AG225" s="2407"/>
      <c r="AH225" s="823"/>
      <c r="AI225" s="823"/>
      <c r="AJ225" s="823"/>
      <c r="AK225" s="608"/>
    </row>
    <row r="226" spans="1:37" hidden="1">
      <c r="A226" s="603"/>
      <c r="B226" s="2470" t="s">
        <v>1182</v>
      </c>
      <c r="C226" s="2470"/>
      <c r="D226" s="2470"/>
      <c r="E226" s="2470"/>
      <c r="F226" s="2470"/>
      <c r="G226" s="2470"/>
      <c r="I226" s="2429"/>
      <c r="J226" s="2429"/>
      <c r="K226" s="2429"/>
      <c r="L226" s="1003"/>
      <c r="N226" s="2427"/>
      <c r="O226" s="2427"/>
      <c r="P226" s="2427"/>
      <c r="Q226" s="2427"/>
      <c r="R226" s="2427"/>
      <c r="T226" s="2409"/>
      <c r="U226" s="2409"/>
      <c r="V226" s="2409"/>
      <c r="W226" s="2409"/>
      <c r="X226" s="2409"/>
      <c r="Y226" s="2409"/>
      <c r="Z226" s="847"/>
      <c r="AA226" s="847"/>
      <c r="AB226" s="2407">
        <f t="shared" si="0"/>
        <v>0</v>
      </c>
      <c r="AC226" s="2407"/>
      <c r="AD226" s="2407"/>
      <c r="AE226" s="2407"/>
      <c r="AF226" s="2407"/>
      <c r="AG226" s="2407"/>
      <c r="AH226" s="823"/>
      <c r="AI226" s="823"/>
      <c r="AJ226" s="823"/>
      <c r="AK226" s="608"/>
    </row>
    <row r="227" spans="1:37" hidden="1">
      <c r="A227" s="603"/>
      <c r="B227" s="2470" t="s">
        <v>1182</v>
      </c>
      <c r="C227" s="2470"/>
      <c r="D227" s="2470"/>
      <c r="E227" s="2470"/>
      <c r="F227" s="2470"/>
      <c r="G227" s="2470"/>
      <c r="I227" s="2429"/>
      <c r="J227" s="2429"/>
      <c r="K227" s="2429"/>
      <c r="L227" s="1010"/>
      <c r="N227" s="2427"/>
      <c r="O227" s="2427"/>
      <c r="P227" s="2427"/>
      <c r="Q227" s="2427"/>
      <c r="R227" s="2427"/>
      <c r="T227" s="2409"/>
      <c r="U227" s="2409"/>
      <c r="V227" s="2409"/>
      <c r="W227" s="2409"/>
      <c r="X227" s="2409"/>
      <c r="Y227" s="2409"/>
      <c r="Z227" s="847"/>
      <c r="AA227" s="847"/>
      <c r="AB227" s="2407">
        <f t="shared" si="0"/>
        <v>0</v>
      </c>
      <c r="AC227" s="2407"/>
      <c r="AD227" s="2407"/>
      <c r="AE227" s="2407"/>
      <c r="AF227" s="2407"/>
      <c r="AG227" s="2407"/>
      <c r="AH227" s="823"/>
      <c r="AI227" s="823"/>
      <c r="AJ227" s="823"/>
      <c r="AK227" s="608"/>
    </row>
    <row r="228" spans="1:37" hidden="1">
      <c r="A228" s="603"/>
      <c r="B228" s="2470" t="s">
        <v>1182</v>
      </c>
      <c r="C228" s="2470"/>
      <c r="D228" s="2470"/>
      <c r="E228" s="2470"/>
      <c r="F228" s="2470"/>
      <c r="G228" s="2470"/>
      <c r="I228" s="2429"/>
      <c r="J228" s="2429"/>
      <c r="K228" s="2429"/>
      <c r="L228" s="1010"/>
      <c r="N228" s="2427"/>
      <c r="O228" s="2427"/>
      <c r="P228" s="2427"/>
      <c r="Q228" s="2427"/>
      <c r="R228" s="2427"/>
      <c r="T228" s="2409"/>
      <c r="U228" s="2409"/>
      <c r="V228" s="2409"/>
      <c r="W228" s="2409"/>
      <c r="X228" s="2409"/>
      <c r="Y228" s="2409"/>
      <c r="Z228" s="847"/>
      <c r="AA228" s="847"/>
      <c r="AB228" s="2407">
        <f t="shared" si="0"/>
        <v>0</v>
      </c>
      <c r="AC228" s="2407"/>
      <c r="AD228" s="2407"/>
      <c r="AE228" s="2407"/>
      <c r="AF228" s="2407"/>
      <c r="AG228" s="2407"/>
      <c r="AH228" s="823"/>
      <c r="AI228" s="823"/>
      <c r="AJ228" s="823"/>
      <c r="AK228" s="608"/>
    </row>
    <row r="229" spans="1:37" hidden="1">
      <c r="A229" s="603"/>
      <c r="B229" s="2470" t="s">
        <v>1182</v>
      </c>
      <c r="C229" s="2470"/>
      <c r="D229" s="2470"/>
      <c r="E229" s="2470"/>
      <c r="F229" s="2470"/>
      <c r="G229" s="2470"/>
      <c r="I229" s="2429"/>
      <c r="J229" s="2429"/>
      <c r="K229" s="2429"/>
      <c r="L229" s="1010"/>
      <c r="N229" s="2427"/>
      <c r="O229" s="2427"/>
      <c r="P229" s="2427"/>
      <c r="Q229" s="2427"/>
      <c r="R229" s="2427"/>
      <c r="T229" s="2409"/>
      <c r="U229" s="2409"/>
      <c r="V229" s="2409"/>
      <c r="W229" s="2409"/>
      <c r="X229" s="2409"/>
      <c r="Y229" s="2409"/>
      <c r="Z229" s="847"/>
      <c r="AA229" s="847"/>
      <c r="AB229" s="2407">
        <f t="shared" si="0"/>
        <v>0</v>
      </c>
      <c r="AC229" s="2407"/>
      <c r="AD229" s="2407"/>
      <c r="AE229" s="2407"/>
      <c r="AF229" s="2407"/>
      <c r="AG229" s="2407"/>
      <c r="AH229" s="823"/>
      <c r="AI229" s="823"/>
      <c r="AJ229" s="823"/>
      <c r="AK229" s="608"/>
    </row>
    <row r="230" spans="1:37" hidden="1">
      <c r="A230" s="603"/>
      <c r="B230" s="2470" t="s">
        <v>1182</v>
      </c>
      <c r="C230" s="2470"/>
      <c r="D230" s="2470"/>
      <c r="E230" s="2470"/>
      <c r="F230" s="2470"/>
      <c r="G230" s="2470"/>
      <c r="I230" s="2429"/>
      <c r="J230" s="2429"/>
      <c r="K230" s="2429"/>
      <c r="L230" s="1010"/>
      <c r="N230" s="2427"/>
      <c r="O230" s="2427"/>
      <c r="P230" s="2427"/>
      <c r="Q230" s="2427"/>
      <c r="R230" s="2427"/>
      <c r="T230" s="2409"/>
      <c r="U230" s="2409"/>
      <c r="V230" s="2409"/>
      <c r="W230" s="2409"/>
      <c r="X230" s="2409"/>
      <c r="Y230" s="2409"/>
      <c r="Z230" s="847"/>
      <c r="AA230" s="847"/>
      <c r="AB230" s="2407">
        <f t="shared" si="0"/>
        <v>0</v>
      </c>
      <c r="AC230" s="2407"/>
      <c r="AD230" s="2407"/>
      <c r="AE230" s="2407"/>
      <c r="AF230" s="2407"/>
      <c r="AG230" s="2407"/>
      <c r="AH230" s="823"/>
      <c r="AI230" s="823"/>
      <c r="AJ230" s="823"/>
      <c r="AK230" s="608"/>
    </row>
    <row r="231" spans="1:37" hidden="1">
      <c r="A231" s="603"/>
      <c r="B231" s="2470" t="s">
        <v>1182</v>
      </c>
      <c r="C231" s="2470"/>
      <c r="D231" s="2470"/>
      <c r="E231" s="2470"/>
      <c r="F231" s="2470"/>
      <c r="G231" s="2470"/>
      <c r="I231" s="2429"/>
      <c r="J231" s="2429"/>
      <c r="K231" s="2429"/>
      <c r="L231" s="1010"/>
      <c r="N231" s="2427"/>
      <c r="O231" s="2427"/>
      <c r="P231" s="2427"/>
      <c r="Q231" s="2427"/>
      <c r="R231" s="2427"/>
      <c r="T231" s="2409"/>
      <c r="U231" s="2409"/>
      <c r="V231" s="2409"/>
      <c r="W231" s="2409"/>
      <c r="X231" s="2409"/>
      <c r="Y231" s="2409"/>
      <c r="Z231" s="847"/>
      <c r="AA231" s="847"/>
      <c r="AB231" s="2407">
        <f t="shared" si="0"/>
        <v>0</v>
      </c>
      <c r="AC231" s="2407"/>
      <c r="AD231" s="2407"/>
      <c r="AE231" s="2407"/>
      <c r="AF231" s="2407"/>
      <c r="AG231" s="2407"/>
      <c r="AH231" s="823"/>
      <c r="AI231" s="823"/>
      <c r="AJ231" s="823"/>
      <c r="AK231" s="608"/>
    </row>
    <row r="232" spans="1:37" hidden="1">
      <c r="A232" s="603"/>
      <c r="B232" s="2470" t="s">
        <v>1182</v>
      </c>
      <c r="C232" s="2470"/>
      <c r="D232" s="2470"/>
      <c r="E232" s="2470"/>
      <c r="F232" s="2470"/>
      <c r="G232" s="2470"/>
      <c r="I232" s="2601"/>
      <c r="J232" s="2601"/>
      <c r="K232" s="2601"/>
      <c r="L232" s="1010"/>
      <c r="N232" s="2427"/>
      <c r="O232" s="2427"/>
      <c r="P232" s="2427"/>
      <c r="Q232" s="2427"/>
      <c r="R232" s="2427"/>
      <c r="T232" s="2409"/>
      <c r="U232" s="2409"/>
      <c r="V232" s="2409"/>
      <c r="W232" s="2409"/>
      <c r="X232" s="2409"/>
      <c r="Y232" s="2409"/>
      <c r="Z232" s="847"/>
      <c r="AA232" s="847"/>
      <c r="AB232" s="2408">
        <f t="shared" si="0"/>
        <v>0</v>
      </c>
      <c r="AC232" s="2408"/>
      <c r="AD232" s="2408"/>
      <c r="AE232" s="2408"/>
      <c r="AF232" s="2408"/>
      <c r="AG232" s="240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07">
        <f>SUM(AB223:AB232)</f>
        <v>0</v>
      </c>
      <c r="AC233" s="2407"/>
      <c r="AD233" s="2407"/>
      <c r="AE233" s="2407"/>
      <c r="AF233" s="2407"/>
      <c r="AG233" s="240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2"/>
      <c r="AC239" s="2442"/>
      <c r="AD239" s="2442"/>
      <c r="AE239" s="2442"/>
      <c r="AF239" s="2442"/>
      <c r="AG239" s="2442"/>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2"/>
      <c r="AC242" s="2442"/>
      <c r="AD242" s="2442"/>
      <c r="AE242" s="2442"/>
      <c r="AF242" s="2442"/>
      <c r="AG242" s="2442"/>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5"/>
      <c r="AC243" s="2425"/>
      <c r="AD243" s="2425"/>
      <c r="AE243" s="2425"/>
      <c r="AF243" s="2425"/>
      <c r="AG243" s="2425"/>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0">
        <f>IFERROR(AB242/AB243,0)</f>
        <v>0</v>
      </c>
      <c r="AC244" s="2410"/>
      <c r="AD244" s="2410"/>
      <c r="AE244" s="2410"/>
      <c r="AF244" s="2410"/>
      <c r="AG244" s="2410"/>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8">
        <f>MAX(AB239,AB244)</f>
        <v>0</v>
      </c>
      <c r="AC246" s="2408"/>
      <c r="AD246" s="2408"/>
      <c r="AE246" s="2408"/>
      <c r="AF246" s="2408"/>
      <c r="AG246" s="240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7">
        <f>AB233+AB246</f>
        <v>0</v>
      </c>
      <c r="AC249" s="2407"/>
      <c r="AD249" s="2407"/>
      <c r="AE249" s="2407"/>
      <c r="AF249" s="2407"/>
      <c r="AG249" s="2407"/>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1">
        <v>0.05</v>
      </c>
      <c r="AC250" s="2581"/>
      <c r="AD250" s="2581"/>
      <c r="AE250" s="2581"/>
      <c r="AF250" s="2581"/>
      <c r="AG250" s="2581"/>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2">
        <f>AB249-(AB249*AB250)</f>
        <v>0</v>
      </c>
      <c r="AC251" s="2582"/>
      <c r="AD251" s="2582"/>
      <c r="AE251" s="2582"/>
      <c r="AF251" s="2582"/>
      <c r="AG251" s="2582"/>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7">
        <f>AB251/AB257</f>
        <v>0</v>
      </c>
      <c r="AC253" s="2407"/>
      <c r="AD253" s="2407"/>
      <c r="AE253" s="2407"/>
      <c r="AF253" s="2407"/>
      <c r="AG253" s="240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0">
        <v>15</v>
      </c>
      <c r="AC255" s="2590"/>
      <c r="AD255" s="2590"/>
      <c r="AE255" s="2590"/>
      <c r="AF255" s="2590"/>
      <c r="AG255" s="2590"/>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8">
        <v>0.04</v>
      </c>
      <c r="AC256" s="2558"/>
      <c r="AD256" s="2558"/>
      <c r="AE256" s="2558"/>
      <c r="AF256" s="2558"/>
      <c r="AG256" s="2558"/>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7">
        <v>1.1499999999999999</v>
      </c>
      <c r="AC257" s="2567"/>
      <c r="AD257" s="2567"/>
      <c r="AE257" s="2567"/>
      <c r="AF257" s="2567"/>
      <c r="AG257" s="256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4">
        <f>PV(AB256/12,AB255*12,-AB253/12, ,0)</f>
        <v>0</v>
      </c>
      <c r="AC259" s="2575"/>
      <c r="AD259" s="2575"/>
      <c r="AE259" s="2575"/>
      <c r="AF259" s="2575"/>
      <c r="AG259" s="2576"/>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8">
        <f>IFERROR(('Sources and Uses Budget'!D105/'Sources and Uses Budget'!B105),0)</f>
        <v>0</v>
      </c>
      <c r="AC265" s="2579"/>
      <c r="AD265" s="2579"/>
      <c r="AE265" s="2579"/>
      <c r="AF265" s="2579"/>
      <c r="AG265" s="258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5">
        <f>AD210*(1-AB265)</f>
        <v>0</v>
      </c>
      <c r="AH267" s="2435"/>
      <c r="AI267" s="2435"/>
      <c r="AJ267" s="2435"/>
      <c r="AK267" s="2435"/>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5">
        <f>'Sources and Uses Budget'!C105</f>
        <v>117426075</v>
      </c>
      <c r="AH268" s="2435"/>
      <c r="AI268" s="2435"/>
      <c r="AJ268" s="2435"/>
      <c r="AK268" s="243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0">
        <f>ROUNDDOWN(IF(AND(C305="Yes",AK83=10),((AG267*2)/AG268),AG267/AG268),2)</f>
        <v>0</v>
      </c>
      <c r="AH269" s="2570"/>
      <c r="AI269" s="2570"/>
      <c r="AJ269" s="2570"/>
      <c r="AK269" s="2570"/>
    </row>
    <row r="270" spans="1:39"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60">
        <f>IFERROR(IF(AG269=0,0,IF((AG269*100)&gt;8,8,(AG269*100))),0)</f>
        <v>0</v>
      </c>
      <c r="AL272" s="2560"/>
      <c r="AM272" s="2561"/>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1" t="s">
        <v>543</v>
      </c>
      <c r="D279" s="2411"/>
      <c r="E279" s="546"/>
      <c r="F279" s="2398" t="s">
        <v>2561</v>
      </c>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49"/>
      <c r="AF279" s="633"/>
      <c r="AG279" s="2568" t="s">
        <v>1355</v>
      </c>
      <c r="AH279" s="2568"/>
      <c r="AI279" s="2568"/>
      <c r="AJ279" s="2568"/>
      <c r="AK279" s="549"/>
      <c r="AL279" s="549"/>
      <c r="AM279" s="549"/>
      <c r="AO279" s="549"/>
    </row>
    <row r="280" spans="1:52" ht="13.7" customHeight="1">
      <c r="A280" s="549"/>
      <c r="B280" s="594"/>
      <c r="C280" s="634"/>
      <c r="D280" s="549"/>
      <c r="E280" s="546"/>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49"/>
      <c r="AF280" s="633"/>
      <c r="AG280" s="633"/>
      <c r="AH280" s="633"/>
      <c r="AI280" s="633"/>
      <c r="AJ280" s="549"/>
      <c r="AK280" s="549"/>
      <c r="AL280" s="549"/>
      <c r="AM280" s="549"/>
      <c r="AO280" s="549"/>
    </row>
    <row r="281" spans="1:52" ht="13.7" customHeight="1">
      <c r="A281" s="549"/>
      <c r="B281" s="594"/>
      <c r="C281" s="634"/>
      <c r="D281" s="549"/>
      <c r="E281" s="546"/>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49"/>
      <c r="AF281" s="633"/>
      <c r="AG281" s="633"/>
      <c r="AH281" s="633"/>
      <c r="AI281" s="633"/>
      <c r="AJ281" s="549"/>
      <c r="AK281" s="549"/>
      <c r="AL281" s="549"/>
      <c r="AM281" s="549"/>
      <c r="AO281" s="549"/>
    </row>
    <row r="282" spans="1:52" ht="13.7" customHeight="1">
      <c r="A282" s="549"/>
      <c r="B282" s="594"/>
      <c r="C282" s="634"/>
      <c r="D282" s="549"/>
      <c r="E282" s="546"/>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49"/>
      <c r="AF282" s="633"/>
      <c r="AG282" s="633"/>
      <c r="AH282" s="633"/>
      <c r="AI282" s="633"/>
      <c r="AJ282" s="549"/>
      <c r="AK282" s="549"/>
      <c r="AL282" s="549"/>
      <c r="AM282" s="549"/>
      <c r="AO282" s="549"/>
    </row>
    <row r="283" spans="1:52" ht="13.7" customHeight="1">
      <c r="A283" s="549"/>
      <c r="B283" s="594"/>
      <c r="C283" s="634"/>
      <c r="D283" s="549"/>
      <c r="E283" s="546"/>
      <c r="F283" s="2401"/>
      <c r="G283" s="2402"/>
      <c r="H283" s="2402"/>
      <c r="I283" s="2402"/>
      <c r="J283" s="2402"/>
      <c r="K283" s="2402"/>
      <c r="L283" s="2402"/>
      <c r="M283" s="2402"/>
      <c r="N283" s="2402"/>
      <c r="O283" s="2402"/>
      <c r="P283" s="2402"/>
      <c r="Q283" s="2402"/>
      <c r="R283" s="2402"/>
      <c r="S283" s="2402"/>
      <c r="T283" s="2402"/>
      <c r="U283" s="2402"/>
      <c r="V283" s="2402"/>
      <c r="W283" s="2402"/>
      <c r="X283" s="2402"/>
      <c r="Y283" s="2402"/>
      <c r="Z283" s="2402"/>
      <c r="AA283" s="2402"/>
      <c r="AB283" s="2402"/>
      <c r="AC283" s="2402"/>
      <c r="AD283" s="2403"/>
      <c r="AE283" s="549"/>
      <c r="AF283" s="633"/>
      <c r="AG283" s="633"/>
      <c r="AH283" s="633"/>
      <c r="AI283" s="633"/>
      <c r="AJ283" s="549"/>
      <c r="AK283" s="549"/>
      <c r="AL283" s="549"/>
      <c r="AM283" s="549"/>
      <c r="AO283" s="549"/>
    </row>
    <row r="284" spans="1:52">
      <c r="A284" s="549"/>
      <c r="B284" s="594"/>
      <c r="C284" s="634"/>
      <c r="D284" s="549"/>
      <c r="E284" s="546"/>
      <c r="F284" s="2401"/>
      <c r="G284" s="2402"/>
      <c r="H284" s="2402"/>
      <c r="I284" s="2402"/>
      <c r="J284" s="2402"/>
      <c r="K284" s="2402"/>
      <c r="L284" s="2402"/>
      <c r="M284" s="2402"/>
      <c r="N284" s="2402"/>
      <c r="O284" s="2402"/>
      <c r="P284" s="2402"/>
      <c r="Q284" s="2402"/>
      <c r="R284" s="2402"/>
      <c r="S284" s="2402"/>
      <c r="T284" s="2402"/>
      <c r="U284" s="2402"/>
      <c r="V284" s="2402"/>
      <c r="W284" s="2402"/>
      <c r="X284" s="2402"/>
      <c r="Y284" s="2402"/>
      <c r="Z284" s="2402"/>
      <c r="AA284" s="2402"/>
      <c r="AB284" s="2402"/>
      <c r="AC284" s="2402"/>
      <c r="AD284" s="2403"/>
      <c r="AE284" s="549"/>
      <c r="AF284" s="633"/>
      <c r="AG284" s="633"/>
      <c r="AH284" s="633"/>
      <c r="AI284" s="633"/>
      <c r="AJ284" s="549"/>
      <c r="AK284" s="549"/>
      <c r="AL284" s="549"/>
      <c r="AM284" s="549"/>
      <c r="AO284" s="549"/>
      <c r="AP284" s="635"/>
    </row>
    <row r="285" spans="1:52">
      <c r="A285" s="549"/>
      <c r="B285" s="594"/>
      <c r="C285" s="634"/>
      <c r="D285" s="549"/>
      <c r="E285" s="546"/>
      <c r="F285" s="2401"/>
      <c r="G285" s="2402"/>
      <c r="H285" s="2402"/>
      <c r="I285" s="2402"/>
      <c r="J285" s="2402"/>
      <c r="K285" s="2402"/>
      <c r="L285" s="2402"/>
      <c r="M285" s="2402"/>
      <c r="N285" s="2402"/>
      <c r="O285" s="2402"/>
      <c r="P285" s="2402"/>
      <c r="Q285" s="2402"/>
      <c r="R285" s="2402"/>
      <c r="S285" s="2402"/>
      <c r="T285" s="2402"/>
      <c r="U285" s="2402"/>
      <c r="V285" s="2402"/>
      <c r="W285" s="2402"/>
      <c r="X285" s="2402"/>
      <c r="Y285" s="2402"/>
      <c r="Z285" s="2402"/>
      <c r="AA285" s="2402"/>
      <c r="AB285" s="2402"/>
      <c r="AC285" s="2402"/>
      <c r="AD285" s="2403"/>
      <c r="AE285" s="549"/>
      <c r="AF285" s="633"/>
      <c r="AG285" s="633"/>
      <c r="AH285" s="633"/>
      <c r="AI285" s="633"/>
      <c r="AJ285" s="549"/>
      <c r="AK285" s="549"/>
      <c r="AL285" s="549"/>
      <c r="AM285" s="549"/>
      <c r="AO285" s="549"/>
      <c r="AP285" s="635"/>
    </row>
    <row r="286" spans="1:52" ht="13.7" customHeight="1">
      <c r="A286" s="549"/>
      <c r="B286" s="594"/>
      <c r="C286" s="2569"/>
      <c r="D286" s="2569"/>
      <c r="E286" s="546"/>
      <c r="F286" s="2404"/>
      <c r="G286" s="2405"/>
      <c r="H286" s="2405"/>
      <c r="I286" s="2405"/>
      <c r="J286" s="2405"/>
      <c r="K286" s="2405"/>
      <c r="L286" s="2405"/>
      <c r="M286" s="2405"/>
      <c r="N286" s="2405"/>
      <c r="O286" s="2405"/>
      <c r="P286" s="2405"/>
      <c r="Q286" s="2405"/>
      <c r="R286" s="2405"/>
      <c r="S286" s="2405"/>
      <c r="T286" s="2405"/>
      <c r="U286" s="2405"/>
      <c r="V286" s="2405"/>
      <c r="W286" s="2405"/>
      <c r="X286" s="2405"/>
      <c r="Y286" s="2405"/>
      <c r="Z286" s="2405"/>
      <c r="AA286" s="2405"/>
      <c r="AB286" s="2405"/>
      <c r="AC286" s="2405"/>
      <c r="AD286" s="2406"/>
      <c r="AE286" s="549"/>
      <c r="AF286" s="633"/>
      <c r="AG286" s="2568"/>
      <c r="AH286" s="2568"/>
      <c r="AI286" s="2568"/>
      <c r="AJ286" s="2568"/>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0" t="s">
        <v>2568</v>
      </c>
      <c r="C289" s="2440"/>
      <c r="D289" s="2440"/>
      <c r="E289" s="2440"/>
      <c r="F289" s="2440"/>
      <c r="G289" s="2440"/>
      <c r="H289" s="2440"/>
      <c r="I289" s="2440"/>
      <c r="J289" s="2440"/>
      <c r="K289" s="2440"/>
      <c r="L289" s="2440"/>
      <c r="M289" s="2440"/>
      <c r="N289" s="2440"/>
      <c r="O289" s="2440"/>
      <c r="P289" s="2440"/>
      <c r="Q289" s="2440"/>
      <c r="R289" s="2440"/>
      <c r="S289" s="2440"/>
      <c r="T289" s="2440"/>
      <c r="U289" s="2440"/>
      <c r="V289" s="2440"/>
      <c r="W289" s="2440"/>
      <c r="X289" s="2440"/>
      <c r="Y289" s="2440"/>
      <c r="Z289" s="2440"/>
      <c r="AA289" s="2440"/>
      <c r="AB289" s="2440"/>
      <c r="AC289" s="2440"/>
      <c r="AD289" s="2440"/>
      <c r="AE289" s="2440"/>
      <c r="AF289" s="2440"/>
      <c r="AG289" s="2440"/>
      <c r="AH289" s="2440"/>
      <c r="AI289" s="2440"/>
      <c r="AJ289" s="2440"/>
      <c r="AK289" s="2440"/>
      <c r="AL289" s="2440"/>
      <c r="AM289" s="549"/>
      <c r="AN289" s="73"/>
    </row>
    <row r="290" spans="1:49">
      <c r="A290" s="549"/>
      <c r="B290" s="2440"/>
      <c r="C290" s="2440"/>
      <c r="D290" s="2440"/>
      <c r="E290" s="2440"/>
      <c r="F290" s="2440"/>
      <c r="G290" s="2440"/>
      <c r="H290" s="2440"/>
      <c r="I290" s="2440"/>
      <c r="J290" s="2440"/>
      <c r="K290" s="2440"/>
      <c r="L290" s="2440"/>
      <c r="M290" s="2440"/>
      <c r="N290" s="2440"/>
      <c r="O290" s="2440"/>
      <c r="P290" s="2440"/>
      <c r="Q290" s="2440"/>
      <c r="R290" s="2440"/>
      <c r="S290" s="2440"/>
      <c r="T290" s="2440"/>
      <c r="U290" s="2440"/>
      <c r="V290" s="2440"/>
      <c r="W290" s="2440"/>
      <c r="X290" s="2440"/>
      <c r="Y290" s="2440"/>
      <c r="Z290" s="2440"/>
      <c r="AA290" s="2440"/>
      <c r="AB290" s="2440"/>
      <c r="AC290" s="2440"/>
      <c r="AD290" s="2440"/>
      <c r="AE290" s="2440"/>
      <c r="AF290" s="2440"/>
      <c r="AG290" s="2440"/>
      <c r="AH290" s="2440"/>
      <c r="AI290" s="2440"/>
      <c r="AJ290" s="2440"/>
      <c r="AK290" s="2440"/>
      <c r="AL290" s="2440"/>
      <c r="AM290" s="549"/>
      <c r="AN290" s="73"/>
    </row>
    <row r="291" spans="1:49">
      <c r="A291" s="549"/>
      <c r="B291" s="2440"/>
      <c r="C291" s="2440"/>
      <c r="D291" s="2440"/>
      <c r="E291" s="2440"/>
      <c r="F291" s="2440"/>
      <c r="G291" s="2440"/>
      <c r="H291" s="2440"/>
      <c r="I291" s="2440"/>
      <c r="J291" s="2440"/>
      <c r="K291" s="2440"/>
      <c r="L291" s="2440"/>
      <c r="M291" s="2440"/>
      <c r="N291" s="2440"/>
      <c r="O291" s="2440"/>
      <c r="P291" s="2440"/>
      <c r="Q291" s="2440"/>
      <c r="R291" s="2440"/>
      <c r="S291" s="2440"/>
      <c r="T291" s="2440"/>
      <c r="U291" s="2440"/>
      <c r="V291" s="2440"/>
      <c r="W291" s="2440"/>
      <c r="X291" s="2440"/>
      <c r="Y291" s="2440"/>
      <c r="Z291" s="2440"/>
      <c r="AA291" s="2440"/>
      <c r="AB291" s="2440"/>
      <c r="AC291" s="2440"/>
      <c r="AD291" s="2440"/>
      <c r="AE291" s="2440"/>
      <c r="AF291" s="2440"/>
      <c r="AG291" s="2440"/>
      <c r="AH291" s="2440"/>
      <c r="AI291" s="2440"/>
      <c r="AJ291" s="2440"/>
      <c r="AK291" s="2440"/>
      <c r="AL291" s="2440"/>
      <c r="AM291" s="549"/>
      <c r="AN291" s="73"/>
    </row>
    <row r="292" spans="1:49">
      <c r="A292" s="549"/>
      <c r="B292" s="2440"/>
      <c r="C292" s="2440"/>
      <c r="D292" s="2440"/>
      <c r="E292" s="2440"/>
      <c r="F292" s="2440"/>
      <c r="G292" s="2440"/>
      <c r="H292" s="2440"/>
      <c r="I292" s="2440"/>
      <c r="J292" s="2440"/>
      <c r="K292" s="2440"/>
      <c r="L292" s="2440"/>
      <c r="M292" s="2440"/>
      <c r="N292" s="2440"/>
      <c r="O292" s="2440"/>
      <c r="P292" s="2440"/>
      <c r="Q292" s="2440"/>
      <c r="R292" s="2440"/>
      <c r="S292" s="2440"/>
      <c r="T292" s="2440"/>
      <c r="U292" s="2440"/>
      <c r="V292" s="2440"/>
      <c r="W292" s="2440"/>
      <c r="X292" s="2440"/>
      <c r="Y292" s="2440"/>
      <c r="Z292" s="2440"/>
      <c r="AA292" s="2440"/>
      <c r="AB292" s="2440"/>
      <c r="AC292" s="2440"/>
      <c r="AD292" s="2440"/>
      <c r="AE292" s="2440"/>
      <c r="AF292" s="2440"/>
      <c r="AG292" s="2440"/>
      <c r="AH292" s="2440"/>
      <c r="AI292" s="2440"/>
      <c r="AJ292" s="2440"/>
      <c r="AK292" s="2440"/>
      <c r="AL292" s="2440"/>
      <c r="AM292" s="549"/>
      <c r="AN292" s="73"/>
    </row>
    <row r="293" spans="1:49">
      <c r="A293" s="549"/>
      <c r="B293" s="2440"/>
      <c r="C293" s="2440"/>
      <c r="D293" s="2440"/>
      <c r="E293" s="2440"/>
      <c r="F293" s="2440"/>
      <c r="G293" s="2440"/>
      <c r="H293" s="2440"/>
      <c r="I293" s="2440"/>
      <c r="J293" s="2440"/>
      <c r="K293" s="2440"/>
      <c r="L293" s="2440"/>
      <c r="M293" s="2440"/>
      <c r="N293" s="2440"/>
      <c r="O293" s="2440"/>
      <c r="P293" s="2440"/>
      <c r="Q293" s="2440"/>
      <c r="R293" s="2440"/>
      <c r="S293" s="2440"/>
      <c r="T293" s="2440"/>
      <c r="U293" s="2440"/>
      <c r="V293" s="2440"/>
      <c r="W293" s="2440"/>
      <c r="X293" s="2440"/>
      <c r="Y293" s="2440"/>
      <c r="Z293" s="2440"/>
      <c r="AA293" s="2440"/>
      <c r="AB293" s="2440"/>
      <c r="AC293" s="2440"/>
      <c r="AD293" s="2440"/>
      <c r="AE293" s="2440"/>
      <c r="AF293" s="2440"/>
      <c r="AG293" s="2440"/>
      <c r="AH293" s="2440"/>
      <c r="AI293" s="2440"/>
      <c r="AJ293" s="2440"/>
      <c r="AK293" s="2440"/>
      <c r="AL293" s="2440"/>
      <c r="AM293" s="549"/>
      <c r="AN293" s="73"/>
    </row>
    <row r="294" spans="1:49">
      <c r="A294" s="549"/>
      <c r="B294" s="2440"/>
      <c r="C294" s="2440"/>
      <c r="D294" s="2440"/>
      <c r="E294" s="2440"/>
      <c r="F294" s="2440"/>
      <c r="G294" s="2440"/>
      <c r="H294" s="2440"/>
      <c r="I294" s="2440"/>
      <c r="J294" s="2440"/>
      <c r="K294" s="2440"/>
      <c r="L294" s="2440"/>
      <c r="M294" s="2440"/>
      <c r="N294" s="2440"/>
      <c r="O294" s="2440"/>
      <c r="P294" s="2440"/>
      <c r="Q294" s="2440"/>
      <c r="R294" s="2440"/>
      <c r="S294" s="2440"/>
      <c r="T294" s="2440"/>
      <c r="U294" s="2440"/>
      <c r="V294" s="2440"/>
      <c r="W294" s="2440"/>
      <c r="X294" s="2440"/>
      <c r="Y294" s="2440"/>
      <c r="Z294" s="2440"/>
      <c r="AA294" s="2440"/>
      <c r="AB294" s="2440"/>
      <c r="AC294" s="2440"/>
      <c r="AD294" s="2440"/>
      <c r="AE294" s="2440"/>
      <c r="AF294" s="2440"/>
      <c r="AG294" s="2440"/>
      <c r="AH294" s="2440"/>
      <c r="AI294" s="2440"/>
      <c r="AJ294" s="2440"/>
      <c r="AK294" s="2440"/>
      <c r="AL294" s="2440"/>
      <c r="AM294" s="549"/>
      <c r="AN294" s="73"/>
    </row>
    <row r="295" spans="1:49">
      <c r="A295" s="549"/>
      <c r="B295" s="2440"/>
      <c r="C295" s="2440"/>
      <c r="D295" s="2440"/>
      <c r="E295" s="2440"/>
      <c r="F295" s="2440"/>
      <c r="G295" s="2440"/>
      <c r="H295" s="2440"/>
      <c r="I295" s="2440"/>
      <c r="J295" s="2440"/>
      <c r="K295" s="2440"/>
      <c r="L295" s="2440"/>
      <c r="M295" s="2440"/>
      <c r="N295" s="2440"/>
      <c r="O295" s="2440"/>
      <c r="P295" s="2440"/>
      <c r="Q295" s="2440"/>
      <c r="R295" s="2440"/>
      <c r="S295" s="2440"/>
      <c r="T295" s="2440"/>
      <c r="U295" s="2440"/>
      <c r="V295" s="2440"/>
      <c r="W295" s="2440"/>
      <c r="X295" s="2440"/>
      <c r="Y295" s="2440"/>
      <c r="Z295" s="2440"/>
      <c r="AA295" s="2440"/>
      <c r="AB295" s="2440"/>
      <c r="AC295" s="2440"/>
      <c r="AD295" s="2440"/>
      <c r="AE295" s="2440"/>
      <c r="AF295" s="2440"/>
      <c r="AG295" s="2440"/>
      <c r="AH295" s="2440"/>
      <c r="AI295" s="2440"/>
      <c r="AJ295" s="2440"/>
      <c r="AK295" s="2440"/>
      <c r="AL295" s="2440"/>
      <c r="AM295" s="549"/>
      <c r="AN295" s="73"/>
    </row>
    <row r="296" spans="1:49">
      <c r="A296" s="549"/>
      <c r="B296" s="2440"/>
      <c r="C296" s="2440"/>
      <c r="D296" s="2440"/>
      <c r="E296" s="2440"/>
      <c r="F296" s="2440"/>
      <c r="G296" s="2440"/>
      <c r="H296" s="2440"/>
      <c r="I296" s="2440"/>
      <c r="J296" s="2440"/>
      <c r="K296" s="2440"/>
      <c r="L296" s="2440"/>
      <c r="M296" s="2440"/>
      <c r="N296" s="2440"/>
      <c r="O296" s="2440"/>
      <c r="P296" s="2440"/>
      <c r="Q296" s="2440"/>
      <c r="R296" s="2440"/>
      <c r="S296" s="2440"/>
      <c r="T296" s="2440"/>
      <c r="U296" s="2440"/>
      <c r="V296" s="2440"/>
      <c r="W296" s="2440"/>
      <c r="X296" s="2440"/>
      <c r="Y296" s="2440"/>
      <c r="Z296" s="2440"/>
      <c r="AA296" s="2440"/>
      <c r="AB296" s="2440"/>
      <c r="AC296" s="2440"/>
      <c r="AD296" s="2440"/>
      <c r="AE296" s="2440"/>
      <c r="AF296" s="2440"/>
      <c r="AG296" s="2440"/>
      <c r="AH296" s="2440"/>
      <c r="AI296" s="2440"/>
      <c r="AJ296" s="2440"/>
      <c r="AK296" s="2440"/>
      <c r="AL296" s="244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60">
        <f>IF($C$279="yes",10,0)</f>
        <v>10</v>
      </c>
      <c r="AL298" s="2560"/>
      <c r="AM298" s="2561"/>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2562</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71" t="s">
        <v>1372</v>
      </c>
      <c r="B305" s="1571"/>
      <c r="C305" s="2397" t="s">
        <v>543</v>
      </c>
      <c r="D305" s="2411"/>
      <c r="E305" s="546"/>
      <c r="F305" s="2562" t="s">
        <v>1373</v>
      </c>
      <c r="G305" s="2563"/>
      <c r="H305" s="2563"/>
      <c r="I305" s="2563"/>
      <c r="J305" s="2563"/>
      <c r="K305" s="2563"/>
      <c r="L305" s="2563"/>
      <c r="M305" s="2563"/>
      <c r="N305" s="2563"/>
      <c r="O305" s="2563"/>
      <c r="P305" s="2563"/>
      <c r="Q305" s="2563"/>
      <c r="R305" s="2563"/>
      <c r="S305" s="2563"/>
      <c r="T305" s="2563"/>
      <c r="U305" s="2563"/>
      <c r="V305" s="2563"/>
      <c r="W305" s="2563"/>
      <c r="X305" s="2563"/>
      <c r="Y305" s="2563"/>
      <c r="Z305" s="2563"/>
      <c r="AA305" s="2563"/>
      <c r="AB305" s="2563"/>
      <c r="AC305" s="2563"/>
      <c r="AD305" s="2564"/>
      <c r="AE305" s="640"/>
      <c r="AF305" s="549"/>
      <c r="AG305" s="2565" t="s">
        <v>1979</v>
      </c>
      <c r="AH305" s="2565"/>
      <c r="AI305" s="2565"/>
      <c r="AJ305" s="2565"/>
      <c r="AK305" s="2565"/>
      <c r="AL305" s="549"/>
      <c r="AM305" s="549"/>
      <c r="AN305" s="73"/>
      <c r="AO305" s="14"/>
      <c r="AP305" s="30"/>
      <c r="AS305" s="568"/>
      <c r="AT305" s="568"/>
      <c r="AU305" s="568"/>
      <c r="AV305" s="32"/>
      <c r="AW305" s="32"/>
    </row>
    <row r="306" spans="1:49">
      <c r="A306" s="638"/>
      <c r="B306" s="594"/>
      <c r="F306" s="2431"/>
      <c r="G306" s="2389"/>
      <c r="H306" s="2389"/>
      <c r="I306" s="2389"/>
      <c r="J306" s="2389"/>
      <c r="K306" s="2389"/>
      <c r="L306" s="2389"/>
      <c r="M306" s="2389"/>
      <c r="N306" s="2389"/>
      <c r="O306" s="2389"/>
      <c r="P306" s="2389"/>
      <c r="Q306" s="2389"/>
      <c r="R306" s="2389"/>
      <c r="S306" s="2389"/>
      <c r="T306" s="2389"/>
      <c r="U306" s="2389"/>
      <c r="V306" s="2389"/>
      <c r="W306" s="2389"/>
      <c r="X306" s="2389"/>
      <c r="Y306" s="2389"/>
      <c r="Z306" s="2389"/>
      <c r="AA306" s="2389"/>
      <c r="AB306" s="2389"/>
      <c r="AC306" s="2389"/>
      <c r="AD306" s="2432"/>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1"/>
      <c r="G307" s="2389"/>
      <c r="H307" s="2389"/>
      <c r="I307" s="2389"/>
      <c r="J307" s="2389"/>
      <c r="K307" s="2389"/>
      <c r="L307" s="2389"/>
      <c r="M307" s="2389"/>
      <c r="N307" s="2389"/>
      <c r="O307" s="2389"/>
      <c r="P307" s="2389"/>
      <c r="Q307" s="2389"/>
      <c r="R307" s="2389"/>
      <c r="S307" s="2389"/>
      <c r="T307" s="2389"/>
      <c r="U307" s="2389"/>
      <c r="V307" s="2389"/>
      <c r="W307" s="2389"/>
      <c r="X307" s="2389"/>
      <c r="Y307" s="2389"/>
      <c r="Z307" s="2389"/>
      <c r="AA307" s="2389"/>
      <c r="AB307" s="2389"/>
      <c r="AC307" s="2389"/>
      <c r="AD307" s="2432"/>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1" t="s">
        <v>1984</v>
      </c>
      <c r="G308" s="2389"/>
      <c r="H308" s="2389"/>
      <c r="I308" s="2389"/>
      <c r="J308" s="2389"/>
      <c r="K308" s="2389"/>
      <c r="L308" s="2389"/>
      <c r="M308" s="2389"/>
      <c r="N308" s="2389"/>
      <c r="O308" s="2389"/>
      <c r="P308" s="2389"/>
      <c r="Q308" s="2389"/>
      <c r="R308" s="2389"/>
      <c r="S308" s="2389"/>
      <c r="T308" s="2389"/>
      <c r="U308" s="2389"/>
      <c r="V308" s="2389"/>
      <c r="W308" s="2389"/>
      <c r="X308" s="2389"/>
      <c r="Y308" s="2389"/>
      <c r="Z308" s="2389"/>
      <c r="AA308" s="2389"/>
      <c r="AB308" s="2389"/>
      <c r="AC308" s="2389"/>
      <c r="AD308" s="2432"/>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31"/>
      <c r="G309" s="2389"/>
      <c r="H309" s="2389"/>
      <c r="I309" s="2389"/>
      <c r="J309" s="2389"/>
      <c r="K309" s="2389"/>
      <c r="L309" s="2389"/>
      <c r="M309" s="2389"/>
      <c r="N309" s="2389"/>
      <c r="O309" s="2389"/>
      <c r="P309" s="2389"/>
      <c r="Q309" s="2389"/>
      <c r="R309" s="2389"/>
      <c r="S309" s="2389"/>
      <c r="T309" s="2389"/>
      <c r="U309" s="2389"/>
      <c r="V309" s="2389"/>
      <c r="W309" s="2389"/>
      <c r="X309" s="2389"/>
      <c r="Y309" s="2389"/>
      <c r="Z309" s="2389"/>
      <c r="AA309" s="2389"/>
      <c r="AB309" s="2389"/>
      <c r="AC309" s="2389"/>
      <c r="AD309" s="2432"/>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1" t="s">
        <v>1374</v>
      </c>
      <c r="G310" s="2389"/>
      <c r="H310" s="2389"/>
      <c r="I310" s="2389"/>
      <c r="J310" s="2389"/>
      <c r="K310" s="2389"/>
      <c r="L310" s="2389"/>
      <c r="M310" s="2389"/>
      <c r="N310" s="2389"/>
      <c r="O310" s="2389"/>
      <c r="P310" s="2389"/>
      <c r="Q310" s="2389"/>
      <c r="R310" s="2389"/>
      <c r="S310" s="2389"/>
      <c r="T310" s="2389"/>
      <c r="U310" s="2389"/>
      <c r="V310" s="2389"/>
      <c r="W310" s="2389"/>
      <c r="X310" s="2389"/>
      <c r="Y310" s="2389"/>
      <c r="Z310" s="2389"/>
      <c r="AA310" s="2389"/>
      <c r="AB310" s="2389"/>
      <c r="AC310" s="2389"/>
      <c r="AD310" s="2432"/>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1"/>
      <c r="G311" s="2389"/>
      <c r="H311" s="2389"/>
      <c r="I311" s="2389"/>
      <c r="J311" s="2389"/>
      <c r="K311" s="2389"/>
      <c r="L311" s="2389"/>
      <c r="M311" s="2389"/>
      <c r="N311" s="2389"/>
      <c r="O311" s="2389"/>
      <c r="P311" s="2389"/>
      <c r="Q311" s="2389"/>
      <c r="R311" s="2389"/>
      <c r="S311" s="2389"/>
      <c r="T311" s="2389"/>
      <c r="U311" s="2389"/>
      <c r="V311" s="2389"/>
      <c r="W311" s="2389"/>
      <c r="X311" s="2389"/>
      <c r="Y311" s="2389"/>
      <c r="Z311" s="2389"/>
      <c r="AA311" s="2389"/>
      <c r="AB311" s="2389"/>
      <c r="AC311" s="2389"/>
      <c r="AD311" s="2432"/>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1" t="s">
        <v>1375</v>
      </c>
      <c r="G312" s="2389"/>
      <c r="H312" s="2389"/>
      <c r="I312" s="2389"/>
      <c r="J312" s="2389"/>
      <c r="K312" s="2389"/>
      <c r="L312" s="2389"/>
      <c r="M312" s="2389"/>
      <c r="N312" s="2389"/>
      <c r="O312" s="2389"/>
      <c r="P312" s="2389"/>
      <c r="Q312" s="2389"/>
      <c r="R312" s="2389"/>
      <c r="S312" s="2389"/>
      <c r="T312" s="2389"/>
      <c r="U312" s="2389"/>
      <c r="V312" s="2389"/>
      <c r="W312" s="2389"/>
      <c r="X312" s="2389"/>
      <c r="Y312" s="2389"/>
      <c r="Z312" s="2389"/>
      <c r="AA312" s="2389"/>
      <c r="AB312" s="2389"/>
      <c r="AC312" s="2389"/>
      <c r="AD312" s="2432"/>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3"/>
      <c r="G313" s="2434"/>
      <c r="H313" s="2434"/>
      <c r="I313" s="2434"/>
      <c r="J313" s="2434"/>
      <c r="K313" s="2434"/>
      <c r="L313" s="2434"/>
      <c r="M313" s="2434"/>
      <c r="N313" s="2434"/>
      <c r="O313" s="2434"/>
      <c r="P313" s="2434"/>
      <c r="Q313" s="2434"/>
      <c r="R313" s="2434"/>
      <c r="S313" s="2434"/>
      <c r="T313" s="2434"/>
      <c r="U313" s="2434"/>
      <c r="V313" s="2434"/>
      <c r="W313" s="2434"/>
      <c r="X313" s="2434"/>
      <c r="Y313" s="2434"/>
      <c r="Z313" s="2434"/>
      <c r="AA313" s="2434"/>
      <c r="AB313" s="2434"/>
      <c r="AC313" s="2434"/>
      <c r="AD313" s="255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71" t="s">
        <v>1376</v>
      </c>
      <c r="B315" s="1571"/>
      <c r="C315" s="2411" t="s">
        <v>589</v>
      </c>
      <c r="D315" s="2411"/>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31" t="s">
        <v>1980</v>
      </c>
      <c r="G316" s="2389"/>
      <c r="H316" s="2389"/>
      <c r="I316" s="2389"/>
      <c r="J316" s="2389"/>
      <c r="K316" s="2389"/>
      <c r="L316" s="2389"/>
      <c r="M316" s="2389"/>
      <c r="N316" s="2389"/>
      <c r="O316" s="2389"/>
      <c r="P316" s="2389"/>
      <c r="Q316" s="2389"/>
      <c r="R316" s="2389"/>
      <c r="S316" s="2389"/>
      <c r="T316" s="2389"/>
      <c r="U316" s="2389"/>
      <c r="V316" s="2389"/>
      <c r="W316" s="2389"/>
      <c r="X316" s="2389"/>
      <c r="Y316" s="2389"/>
      <c r="Z316" s="2389"/>
      <c r="AA316" s="2389"/>
      <c r="AB316" s="2389"/>
      <c r="AC316" s="2389"/>
      <c r="AD316" s="2432"/>
      <c r="AE316" s="550"/>
      <c r="AF316" s="550"/>
      <c r="AG316" s="550"/>
      <c r="AH316" s="550"/>
      <c r="AI316" s="550"/>
      <c r="AJ316" s="549"/>
      <c r="AK316" s="549"/>
      <c r="AL316" s="549"/>
      <c r="AM316" s="549"/>
      <c r="AR316" s="644"/>
    </row>
    <row r="317" spans="1:49" ht="15" customHeight="1">
      <c r="A317" s="549"/>
      <c r="B317" s="550"/>
      <c r="C317" s="549"/>
      <c r="D317" s="550"/>
      <c r="E317" s="549"/>
      <c r="F317" s="2431"/>
      <c r="G317" s="2389"/>
      <c r="H317" s="2389"/>
      <c r="I317" s="2389"/>
      <c r="J317" s="2389"/>
      <c r="K317" s="2389"/>
      <c r="L317" s="2389"/>
      <c r="M317" s="2389"/>
      <c r="N317" s="2389"/>
      <c r="O317" s="2389"/>
      <c r="P317" s="2389"/>
      <c r="Q317" s="2389"/>
      <c r="R317" s="2389"/>
      <c r="S317" s="2389"/>
      <c r="T317" s="2389"/>
      <c r="U317" s="2389"/>
      <c r="V317" s="2389"/>
      <c r="W317" s="2389"/>
      <c r="X317" s="2389"/>
      <c r="Y317" s="2389"/>
      <c r="Z317" s="2389"/>
      <c r="AA317" s="2389"/>
      <c r="AB317" s="2389"/>
      <c r="AC317" s="2389"/>
      <c r="AD317" s="2432"/>
      <c r="AE317" s="550"/>
      <c r="AF317" s="550"/>
      <c r="AG317" s="550"/>
      <c r="AH317" s="550"/>
      <c r="AI317" s="550"/>
      <c r="AJ317" s="549"/>
      <c r="AK317" s="549"/>
      <c r="AL317" s="549"/>
      <c r="AM317" s="549"/>
      <c r="AR317" s="644"/>
    </row>
    <row r="318" spans="1:49">
      <c r="A318" s="549"/>
      <c r="B318" s="550"/>
      <c r="C318" s="549"/>
      <c r="D318" s="550"/>
      <c r="E318" s="549"/>
      <c r="F318" s="2431"/>
      <c r="G318" s="2389"/>
      <c r="H318" s="2389"/>
      <c r="I318" s="2389"/>
      <c r="J318" s="2389"/>
      <c r="K318" s="2389"/>
      <c r="L318" s="2389"/>
      <c r="M318" s="2389"/>
      <c r="N318" s="2389"/>
      <c r="O318" s="2389"/>
      <c r="P318" s="2389"/>
      <c r="Q318" s="2389"/>
      <c r="R318" s="2389"/>
      <c r="S318" s="2389"/>
      <c r="T318" s="2389"/>
      <c r="U318" s="2389"/>
      <c r="V318" s="2389"/>
      <c r="W318" s="2389"/>
      <c r="X318" s="2389"/>
      <c r="Y318" s="2389"/>
      <c r="Z318" s="2389"/>
      <c r="AA318" s="2389"/>
      <c r="AB318" s="2389"/>
      <c r="AC318" s="2389"/>
      <c r="AD318" s="2432"/>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3"/>
      <c r="G319" s="2434"/>
      <c r="H319" s="2434"/>
      <c r="I319" s="2434"/>
      <c r="J319" s="2434"/>
      <c r="K319" s="2434"/>
      <c r="L319" s="2434"/>
      <c r="M319" s="2434"/>
      <c r="N319" s="2434"/>
      <c r="O319" s="2434"/>
      <c r="P319" s="2434"/>
      <c r="Q319" s="2434"/>
      <c r="R319" s="2434"/>
      <c r="S319" s="2434"/>
      <c r="T319" s="2434"/>
      <c r="U319" s="2434"/>
      <c r="V319" s="2434"/>
      <c r="W319" s="2434"/>
      <c r="X319" s="2434"/>
      <c r="Y319" s="2434"/>
      <c r="Z319" s="2434"/>
      <c r="AA319" s="2434"/>
      <c r="AB319" s="2434"/>
      <c r="AC319" s="2434"/>
      <c r="AD319" s="255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71" t="s">
        <v>1379</v>
      </c>
      <c r="B323" s="1571"/>
      <c r="C323" s="2411" t="s">
        <v>589</v>
      </c>
      <c r="D323" s="2411"/>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31" t="s">
        <v>1985</v>
      </c>
      <c r="G324" s="2389"/>
      <c r="H324" s="2389"/>
      <c r="I324" s="2389"/>
      <c r="J324" s="2389"/>
      <c r="K324" s="2389"/>
      <c r="L324" s="2389"/>
      <c r="M324" s="2389"/>
      <c r="N324" s="2389"/>
      <c r="O324" s="2389"/>
      <c r="P324" s="2389"/>
      <c r="Q324" s="2389"/>
      <c r="R324" s="2389"/>
      <c r="S324" s="2389"/>
      <c r="T324" s="2389"/>
      <c r="U324" s="2389"/>
      <c r="V324" s="2389"/>
      <c r="W324" s="2389"/>
      <c r="X324" s="2389"/>
      <c r="Y324" s="2389"/>
      <c r="Z324" s="2389"/>
      <c r="AA324" s="2389"/>
      <c r="AB324" s="2389"/>
      <c r="AC324" s="2389"/>
      <c r="AD324" s="2432"/>
      <c r="AE324" s="550"/>
      <c r="AF324" s="550"/>
      <c r="AG324" s="539"/>
      <c r="AH324" s="550"/>
      <c r="AI324" s="550"/>
      <c r="AJ324" s="549"/>
      <c r="AK324" s="549"/>
      <c r="AL324" s="549"/>
      <c r="AM324" s="549"/>
      <c r="AN324" s="73"/>
      <c r="AO324" s="14"/>
      <c r="AP324" s="555" t="s">
        <v>1182</v>
      </c>
    </row>
    <row r="325" spans="1:44" hidden="1">
      <c r="F325" s="2431"/>
      <c r="G325" s="2389"/>
      <c r="H325" s="2389"/>
      <c r="I325" s="2389"/>
      <c r="J325" s="2389"/>
      <c r="K325" s="2389"/>
      <c r="L325" s="2389"/>
      <c r="M325" s="2389"/>
      <c r="N325" s="2389"/>
      <c r="O325" s="2389"/>
      <c r="P325" s="2389"/>
      <c r="Q325" s="2389"/>
      <c r="R325" s="2389"/>
      <c r="S325" s="2389"/>
      <c r="T325" s="2389"/>
      <c r="U325" s="2389"/>
      <c r="V325" s="2389"/>
      <c r="W325" s="2389"/>
      <c r="X325" s="2389"/>
      <c r="Y325" s="2389"/>
      <c r="Z325" s="2389"/>
      <c r="AA325" s="2389"/>
      <c r="AB325" s="2389"/>
      <c r="AC325" s="2389"/>
      <c r="AD325" s="2432"/>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9" t="s">
        <v>1182</v>
      </c>
      <c r="G329" s="2540"/>
      <c r="H329" s="2540"/>
      <c r="I329" s="2540"/>
      <c r="J329" s="2540"/>
      <c r="K329" s="2540"/>
      <c r="L329" s="2540"/>
      <c r="M329" s="2540"/>
      <c r="N329" s="2540"/>
      <c r="O329" s="2540"/>
      <c r="P329" s="2540"/>
      <c r="Q329" s="2540"/>
      <c r="R329" s="2540"/>
      <c r="S329" s="2540"/>
      <c r="T329" s="2540"/>
      <c r="U329" s="2540"/>
      <c r="V329" s="2540"/>
      <c r="W329" s="2540"/>
      <c r="X329" s="2540"/>
      <c r="Y329" s="2540"/>
      <c r="Z329" s="2540"/>
      <c r="AA329" s="2540"/>
      <c r="AB329" s="2540"/>
      <c r="AC329" s="2540"/>
      <c r="AD329" s="2541"/>
      <c r="AE329" s="640"/>
      <c r="AF329" s="640"/>
      <c r="AG329" s="640"/>
      <c r="AH329" s="640"/>
      <c r="AI329" s="640"/>
      <c r="AJ329" s="640"/>
      <c r="AK329" s="640"/>
      <c r="AL329" s="549"/>
      <c r="AM329" s="549"/>
      <c r="AN329" s="73"/>
      <c r="AO329" s="14"/>
      <c r="AP329" s="30"/>
    </row>
    <row r="330" spans="1:44" hidden="1">
      <c r="A330" s="549"/>
      <c r="B330" s="550"/>
      <c r="C330" s="726"/>
      <c r="D330" s="726"/>
      <c r="E330" s="546"/>
      <c r="F330" s="2539"/>
      <c r="G330" s="2540"/>
      <c r="H330" s="2540"/>
      <c r="I330" s="2540"/>
      <c r="J330" s="2540"/>
      <c r="K330" s="2540"/>
      <c r="L330" s="2540"/>
      <c r="M330" s="2540"/>
      <c r="N330" s="2540"/>
      <c r="O330" s="2540"/>
      <c r="P330" s="2540"/>
      <c r="Q330" s="2540"/>
      <c r="R330" s="2540"/>
      <c r="S330" s="2540"/>
      <c r="T330" s="2540"/>
      <c r="U330" s="2540"/>
      <c r="V330" s="2540"/>
      <c r="W330" s="2540"/>
      <c r="X330" s="2540"/>
      <c r="Y330" s="2540"/>
      <c r="Z330" s="2540"/>
      <c r="AA330" s="2540"/>
      <c r="AB330" s="2540"/>
      <c r="AC330" s="2540"/>
      <c r="AD330" s="2541"/>
      <c r="AE330" s="550"/>
      <c r="AF330" s="550"/>
      <c r="AG330" s="539"/>
      <c r="AH330" s="550"/>
      <c r="AI330" s="550"/>
      <c r="AJ330" s="549"/>
      <c r="AK330" s="549"/>
      <c r="AL330" s="549"/>
      <c r="AM330" s="549"/>
      <c r="AN330" s="73"/>
      <c r="AO330" s="14"/>
      <c r="AP330" s="30"/>
    </row>
    <row r="331" spans="1:44" hidden="1">
      <c r="A331" s="549"/>
      <c r="B331" s="550"/>
      <c r="C331" s="726"/>
      <c r="D331" s="726"/>
      <c r="E331" s="546"/>
      <c r="F331" s="2539"/>
      <c r="G331" s="2540"/>
      <c r="H331" s="2540"/>
      <c r="I331" s="2540"/>
      <c r="J331" s="2540"/>
      <c r="K331" s="2540"/>
      <c r="L331" s="2540"/>
      <c r="M331" s="2540"/>
      <c r="N331" s="2540"/>
      <c r="O331" s="2540"/>
      <c r="P331" s="2540"/>
      <c r="Q331" s="2540"/>
      <c r="R331" s="2540"/>
      <c r="S331" s="2540"/>
      <c r="T331" s="2540"/>
      <c r="U331" s="2540"/>
      <c r="V331" s="2540"/>
      <c r="W331" s="2540"/>
      <c r="X331" s="2540"/>
      <c r="Y331" s="2540"/>
      <c r="Z331" s="2540"/>
      <c r="AA331" s="2540"/>
      <c r="AB331" s="2540"/>
      <c r="AC331" s="2540"/>
      <c r="AD331" s="2541"/>
      <c r="AE331" s="550"/>
      <c r="AF331" s="550"/>
      <c r="AG331" s="539"/>
      <c r="AH331" s="550"/>
      <c r="AI331" s="550"/>
      <c r="AJ331" s="549"/>
      <c r="AK331" s="549"/>
      <c r="AL331" s="549"/>
      <c r="AM331" s="549"/>
      <c r="AN331" s="73"/>
      <c r="AO331" s="14"/>
      <c r="AP331" s="30"/>
    </row>
    <row r="332" spans="1:44" hidden="1">
      <c r="A332" s="549"/>
      <c r="B332" s="550"/>
      <c r="C332" s="726"/>
      <c r="D332" s="726"/>
      <c r="E332" s="546"/>
      <c r="F332" s="2539"/>
      <c r="G332" s="2540"/>
      <c r="H332" s="2540"/>
      <c r="I332" s="2540"/>
      <c r="J332" s="2540"/>
      <c r="K332" s="2540"/>
      <c r="L332" s="2540"/>
      <c r="M332" s="2540"/>
      <c r="N332" s="2540"/>
      <c r="O332" s="2540"/>
      <c r="P332" s="2540"/>
      <c r="Q332" s="2540"/>
      <c r="R332" s="2540"/>
      <c r="S332" s="2540"/>
      <c r="T332" s="2540"/>
      <c r="U332" s="2540"/>
      <c r="V332" s="2540"/>
      <c r="W332" s="2540"/>
      <c r="X332" s="2540"/>
      <c r="Y332" s="2540"/>
      <c r="Z332" s="2540"/>
      <c r="AA332" s="2540"/>
      <c r="AB332" s="2540"/>
      <c r="AC332" s="2540"/>
      <c r="AD332" s="2541"/>
      <c r="AE332" s="550"/>
      <c r="AF332" s="550"/>
      <c r="AG332" s="539"/>
      <c r="AH332" s="550"/>
      <c r="AI332" s="550"/>
      <c r="AJ332" s="549"/>
      <c r="AK332" s="549"/>
      <c r="AL332" s="549"/>
      <c r="AM332" s="549"/>
      <c r="AN332" s="73"/>
      <c r="AO332" s="14"/>
      <c r="AP332" s="30"/>
    </row>
    <row r="333" spans="1:44" hidden="1">
      <c r="A333" s="549"/>
      <c r="B333" s="550"/>
      <c r="C333" s="726"/>
      <c r="D333" s="726"/>
      <c r="E333" s="546"/>
      <c r="F333" s="2542"/>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45" t="s">
        <v>1182</v>
      </c>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45"/>
      <c r="AD337" s="2546"/>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45"/>
      <c r="AD338" s="2546"/>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45"/>
      <c r="AD339" s="2546"/>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47"/>
      <c r="J340" s="2547"/>
      <c r="K340" s="2547"/>
      <c r="L340" s="2547"/>
      <c r="M340" s="2547"/>
      <c r="N340" s="2547"/>
      <c r="O340" s="2547"/>
      <c r="P340" s="2547"/>
      <c r="Q340" s="2547"/>
      <c r="R340" s="2547"/>
      <c r="S340" s="2547"/>
      <c r="T340" s="2547"/>
      <c r="U340" s="2547"/>
      <c r="V340" s="2547"/>
      <c r="W340" s="2547"/>
      <c r="X340" s="2547"/>
      <c r="Y340" s="2547"/>
      <c r="Z340" s="2547"/>
      <c r="AA340" s="2547"/>
      <c r="AB340" s="2547"/>
      <c r="AC340" s="2547"/>
      <c r="AD340" s="2548"/>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507</v>
      </c>
      <c r="H342" s="550"/>
      <c r="I342" s="2545" t="s">
        <v>1182</v>
      </c>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45"/>
      <c r="AD342" s="2546"/>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45"/>
      <c r="AD343" s="2546"/>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47"/>
      <c r="J344" s="2547"/>
      <c r="K344" s="2547"/>
      <c r="L344" s="2547"/>
      <c r="M344" s="2547"/>
      <c r="N344" s="2547"/>
      <c r="O344" s="2547"/>
      <c r="P344" s="2547"/>
      <c r="Q344" s="2547"/>
      <c r="R344" s="2547"/>
      <c r="S344" s="2547"/>
      <c r="T344" s="2547"/>
      <c r="U344" s="2547"/>
      <c r="V344" s="2547"/>
      <c r="W344" s="2547"/>
      <c r="X344" s="2547"/>
      <c r="Y344" s="2547"/>
      <c r="Z344" s="2547"/>
      <c r="AA344" s="2547"/>
      <c r="AB344" s="2547"/>
      <c r="AC344" s="2547"/>
      <c r="AD344" s="2548"/>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571" t="s">
        <v>1382</v>
      </c>
      <c r="B346" s="1571"/>
      <c r="C346" s="2411" t="s">
        <v>589</v>
      </c>
      <c r="D346" s="2411"/>
      <c r="E346" s="546"/>
      <c r="F346" s="2452" t="s">
        <v>1986</v>
      </c>
      <c r="G346" s="2453"/>
      <c r="H346" s="2453"/>
      <c r="I346" s="2453"/>
      <c r="J346" s="2453"/>
      <c r="K346" s="2453"/>
      <c r="L346" s="2453"/>
      <c r="M346" s="2453"/>
      <c r="N346" s="2453"/>
      <c r="O346" s="2453"/>
      <c r="P346" s="2453"/>
      <c r="Q346" s="2453"/>
      <c r="R346" s="2453"/>
      <c r="S346" s="2453"/>
      <c r="T346" s="2453"/>
      <c r="U346" s="2453"/>
      <c r="V346" s="2453"/>
      <c r="W346" s="2453"/>
      <c r="X346" s="2453"/>
      <c r="Y346" s="2453"/>
      <c r="Z346" s="2453"/>
      <c r="AA346" s="2453"/>
      <c r="AB346" s="2453"/>
      <c r="AC346" s="2453"/>
      <c r="AD346" s="2454"/>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55"/>
      <c r="G347" s="2456"/>
      <c r="H347" s="2456"/>
      <c r="I347" s="2456"/>
      <c r="J347" s="2456"/>
      <c r="K347" s="2456"/>
      <c r="L347" s="2456"/>
      <c r="M347" s="2456"/>
      <c r="N347" s="2456"/>
      <c r="O347" s="2456"/>
      <c r="P347" s="2456"/>
      <c r="Q347" s="2456"/>
      <c r="R347" s="2456"/>
      <c r="S347" s="2456"/>
      <c r="T347" s="2456"/>
      <c r="U347" s="2456"/>
      <c r="V347" s="2456"/>
      <c r="W347" s="2456"/>
      <c r="X347" s="2456"/>
      <c r="Y347" s="2456"/>
      <c r="Z347" s="2456"/>
      <c r="AA347" s="2456"/>
      <c r="AB347" s="2456"/>
      <c r="AC347" s="2456"/>
      <c r="AD347" s="2457"/>
      <c r="AE347" s="550"/>
      <c r="AF347" s="550"/>
      <c r="AG347" s="550"/>
      <c r="AH347" s="550"/>
      <c r="AI347" s="550"/>
      <c r="AJ347" s="549"/>
      <c r="AK347" s="549"/>
      <c r="AL347" s="549"/>
      <c r="AM347" s="549"/>
      <c r="AN347" s="73"/>
      <c r="AO347" s="14"/>
    </row>
    <row r="348" spans="1:42" ht="15" hidden="1" customHeight="1">
      <c r="A348" s="549"/>
      <c r="B348" s="550"/>
      <c r="C348" s="550"/>
      <c r="D348" s="550"/>
      <c r="E348" s="550"/>
      <c r="F348" s="2455"/>
      <c r="G348" s="2456"/>
      <c r="H348" s="2456"/>
      <c r="I348" s="2456"/>
      <c r="J348" s="2456"/>
      <c r="K348" s="2456"/>
      <c r="L348" s="2456"/>
      <c r="M348" s="2456"/>
      <c r="N348" s="2456"/>
      <c r="O348" s="2456"/>
      <c r="P348" s="2456"/>
      <c r="Q348" s="2456"/>
      <c r="R348" s="2456"/>
      <c r="S348" s="2456"/>
      <c r="T348" s="2456"/>
      <c r="U348" s="2456"/>
      <c r="V348" s="2456"/>
      <c r="W348" s="2456"/>
      <c r="X348" s="2456"/>
      <c r="Y348" s="2456"/>
      <c r="Z348" s="2456"/>
      <c r="AA348" s="2456"/>
      <c r="AB348" s="2456"/>
      <c r="AC348" s="2456"/>
      <c r="AD348" s="2457"/>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392">
        <f>IF(NOT(OR(Application!M364="Yes",Application!M365="Yes")),0,AP308)</f>
        <v>10</v>
      </c>
      <c r="AL351" s="2438"/>
      <c r="AM351" s="239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49" t="s">
        <v>1306</v>
      </c>
      <c r="AF354" s="2449"/>
      <c r="AG354" s="2449"/>
      <c r="AH354" s="2449"/>
      <c r="AI354" s="2449"/>
      <c r="AJ354" s="2449"/>
      <c r="AK354" s="244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0" t="s">
        <v>1443</v>
      </c>
      <c r="D356" s="2460"/>
      <c r="E356" s="2460"/>
      <c r="F356" s="2460"/>
      <c r="G356" s="2460"/>
      <c r="H356" s="2460"/>
      <c r="I356" s="2460"/>
      <c r="J356" s="2460"/>
      <c r="K356" s="2460"/>
      <c r="L356" s="2460"/>
      <c r="M356" s="2460"/>
      <c r="N356" s="2460"/>
      <c r="O356" s="2460"/>
      <c r="P356" s="2460"/>
      <c r="Q356" s="2460"/>
      <c r="R356" s="2460"/>
      <c r="S356" s="2460"/>
      <c r="T356" s="2460"/>
      <c r="U356" s="2460"/>
      <c r="V356" s="2460"/>
      <c r="W356" s="2460"/>
      <c r="X356" s="2460"/>
      <c r="Y356" s="2460"/>
      <c r="Z356" s="2460"/>
      <c r="AA356" s="2460"/>
      <c r="AB356" s="2460"/>
      <c r="AC356" s="2460"/>
      <c r="AD356" s="2460"/>
      <c r="AE356" s="2460"/>
      <c r="AF356" s="2460"/>
      <c r="AG356" s="2460"/>
      <c r="AH356" s="2460"/>
      <c r="AI356" s="2460"/>
      <c r="AJ356" s="2460"/>
      <c r="AK356" s="601"/>
      <c r="AL356" s="601"/>
      <c r="AM356" s="601"/>
      <c r="AN356" s="595"/>
    </row>
    <row r="357" spans="1:44" s="549" customFormat="1" ht="12.75" customHeight="1">
      <c r="A357" s="601"/>
      <c r="B357" s="609"/>
      <c r="C357" s="2460"/>
      <c r="D357" s="2460"/>
      <c r="E357" s="2460"/>
      <c r="F357" s="2460"/>
      <c r="G357" s="2460"/>
      <c r="H357" s="2460"/>
      <c r="I357" s="2460"/>
      <c r="J357" s="2460"/>
      <c r="K357" s="2460"/>
      <c r="L357" s="2460"/>
      <c r="M357" s="2460"/>
      <c r="N357" s="2460"/>
      <c r="O357" s="2460"/>
      <c r="P357" s="2460"/>
      <c r="Q357" s="2460"/>
      <c r="R357" s="2460"/>
      <c r="S357" s="2460"/>
      <c r="T357" s="2460"/>
      <c r="U357" s="2460"/>
      <c r="V357" s="2460"/>
      <c r="W357" s="2460"/>
      <c r="X357" s="2460"/>
      <c r="Y357" s="2460"/>
      <c r="Z357" s="2460"/>
      <c r="AA357" s="2460"/>
      <c r="AB357" s="2460"/>
      <c r="AC357" s="2460"/>
      <c r="AD357" s="2460"/>
      <c r="AE357" s="2460"/>
      <c r="AF357" s="2460"/>
      <c r="AG357" s="2460"/>
      <c r="AH357" s="2460"/>
      <c r="AI357" s="2460"/>
      <c r="AJ357" s="2460"/>
      <c r="AK357" s="601"/>
      <c r="AL357" s="601"/>
      <c r="AM357" s="601"/>
      <c r="AN357" s="595"/>
    </row>
    <row r="358" spans="1:44" s="549" customFormat="1" ht="12.75" customHeight="1">
      <c r="A358" s="601"/>
      <c r="B358" s="609"/>
      <c r="C358" s="2460"/>
      <c r="D358" s="2460"/>
      <c r="E358" s="2460"/>
      <c r="F358" s="2460"/>
      <c r="G358" s="2460"/>
      <c r="H358" s="2460"/>
      <c r="I358" s="2460"/>
      <c r="J358" s="2460"/>
      <c r="K358" s="2460"/>
      <c r="L358" s="2460"/>
      <c r="M358" s="2460"/>
      <c r="N358" s="2460"/>
      <c r="O358" s="2460"/>
      <c r="P358" s="2460"/>
      <c r="Q358" s="2460"/>
      <c r="R358" s="2460"/>
      <c r="S358" s="2460"/>
      <c r="T358" s="2460"/>
      <c r="U358" s="2460"/>
      <c r="V358" s="2460"/>
      <c r="W358" s="2460"/>
      <c r="X358" s="2460"/>
      <c r="Y358" s="2460"/>
      <c r="Z358" s="2460"/>
      <c r="AA358" s="2460"/>
      <c r="AB358" s="2460"/>
      <c r="AC358" s="2460"/>
      <c r="AD358" s="2460"/>
      <c r="AE358" s="2460"/>
      <c r="AF358" s="2460"/>
      <c r="AG358" s="2460"/>
      <c r="AH358" s="2460"/>
      <c r="AI358" s="2460"/>
      <c r="AJ358" s="2460"/>
      <c r="AK358" s="601"/>
      <c r="AL358" s="601"/>
      <c r="AM358" s="601"/>
      <c r="AN358" s="595"/>
      <c r="AQ358" s="568"/>
    </row>
    <row r="359" spans="1:44" s="549" customFormat="1" ht="12.75" customHeight="1">
      <c r="A359" s="601"/>
      <c r="B359" s="609"/>
      <c r="C359" s="2460"/>
      <c r="D359" s="2460"/>
      <c r="E359" s="2460"/>
      <c r="F359" s="2460"/>
      <c r="G359" s="2460"/>
      <c r="H359" s="2460"/>
      <c r="I359" s="2460"/>
      <c r="J359" s="2460"/>
      <c r="K359" s="2460"/>
      <c r="L359" s="2460"/>
      <c r="M359" s="2460"/>
      <c r="N359" s="2460"/>
      <c r="O359" s="2460"/>
      <c r="P359" s="2460"/>
      <c r="Q359" s="2460"/>
      <c r="R359" s="2460"/>
      <c r="S359" s="2460"/>
      <c r="T359" s="2460"/>
      <c r="U359" s="2460"/>
      <c r="V359" s="2460"/>
      <c r="W359" s="2460"/>
      <c r="X359" s="2460"/>
      <c r="Y359" s="2460"/>
      <c r="Z359" s="2460"/>
      <c r="AA359" s="2460"/>
      <c r="AB359" s="2460"/>
      <c r="AC359" s="2460"/>
      <c r="AD359" s="2460"/>
      <c r="AE359" s="2460"/>
      <c r="AF359" s="2460"/>
      <c r="AG359" s="2460"/>
      <c r="AH359" s="2460"/>
      <c r="AI359" s="2460"/>
      <c r="AJ359" s="2460"/>
      <c r="AK359" s="601"/>
      <c r="AL359" s="601"/>
      <c r="AM359" s="601"/>
      <c r="AN359" s="595"/>
      <c r="AQ359" s="568"/>
    </row>
    <row r="360" spans="1:44" s="549" customFormat="1" ht="12.4" customHeight="1">
      <c r="A360" s="601"/>
      <c r="B360" s="609"/>
      <c r="C360" s="2460"/>
      <c r="D360" s="2460"/>
      <c r="E360" s="2460"/>
      <c r="F360" s="2460"/>
      <c r="G360" s="2460"/>
      <c r="H360" s="2460"/>
      <c r="I360" s="2460"/>
      <c r="J360" s="2460"/>
      <c r="K360" s="2460"/>
      <c r="L360" s="2460"/>
      <c r="M360" s="2460"/>
      <c r="N360" s="2460"/>
      <c r="O360" s="2460"/>
      <c r="P360" s="2460"/>
      <c r="Q360" s="2460"/>
      <c r="R360" s="2460"/>
      <c r="S360" s="2460"/>
      <c r="T360" s="2460"/>
      <c r="U360" s="2460"/>
      <c r="V360" s="2460"/>
      <c r="W360" s="2460"/>
      <c r="X360" s="2460"/>
      <c r="Y360" s="2460"/>
      <c r="Z360" s="2460"/>
      <c r="AA360" s="2460"/>
      <c r="AB360" s="2460"/>
      <c r="AC360" s="2460"/>
      <c r="AD360" s="2460"/>
      <c r="AE360" s="2460"/>
      <c r="AF360" s="2460"/>
      <c r="AG360" s="2460"/>
      <c r="AH360" s="2460"/>
      <c r="AI360" s="2460"/>
      <c r="AJ360" s="2460"/>
      <c r="AK360" s="601"/>
      <c r="AL360" s="601"/>
      <c r="AM360" s="601"/>
      <c r="AN360" s="595"/>
      <c r="AQ360" s="568"/>
      <c r="AR360" s="568"/>
    </row>
    <row r="361" spans="1:44" s="549" customFormat="1" ht="45.75" customHeight="1">
      <c r="A361" s="601"/>
      <c r="B361" s="609"/>
      <c r="C361" s="2460" t="s">
        <v>2045</v>
      </c>
      <c r="D361" s="2460"/>
      <c r="E361" s="2460"/>
      <c r="F361" s="2460"/>
      <c r="G361" s="2460"/>
      <c r="H361" s="2460"/>
      <c r="I361" s="2460"/>
      <c r="J361" s="2460"/>
      <c r="K361" s="2460"/>
      <c r="L361" s="2460"/>
      <c r="M361" s="2460"/>
      <c r="N361" s="2460"/>
      <c r="O361" s="2460"/>
      <c r="P361" s="2460"/>
      <c r="Q361" s="2460"/>
      <c r="R361" s="2460"/>
      <c r="S361" s="2460"/>
      <c r="T361" s="2460"/>
      <c r="U361" s="2460"/>
      <c r="V361" s="2460"/>
      <c r="W361" s="2460"/>
      <c r="X361" s="2460"/>
      <c r="Y361" s="2460"/>
      <c r="Z361" s="2460"/>
      <c r="AA361" s="2460"/>
      <c r="AB361" s="2460"/>
      <c r="AC361" s="2460"/>
      <c r="AD361" s="2460"/>
      <c r="AE361" s="2460"/>
      <c r="AF361" s="2460"/>
      <c r="AG361" s="2460"/>
      <c r="AH361" s="2460"/>
      <c r="AI361" s="2460"/>
      <c r="AJ361" s="2460"/>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0" t="s">
        <v>2159</v>
      </c>
      <c r="D363" s="2460"/>
      <c r="E363" s="2460"/>
      <c r="F363" s="2460"/>
      <c r="G363" s="2460"/>
      <c r="H363" s="2460"/>
      <c r="I363" s="2460"/>
      <c r="J363" s="2460"/>
      <c r="K363" s="2460"/>
      <c r="L363" s="2460"/>
      <c r="M363" s="2460"/>
      <c r="N363" s="2460"/>
      <c r="O363" s="2460"/>
      <c r="P363" s="2460"/>
      <c r="Q363" s="2460"/>
      <c r="R363" s="2460"/>
      <c r="S363" s="2460"/>
      <c r="T363" s="2460"/>
      <c r="U363" s="2460"/>
      <c r="V363" s="2460"/>
      <c r="W363" s="2460"/>
      <c r="X363" s="2460"/>
      <c r="Y363" s="2460"/>
      <c r="Z363" s="2460"/>
      <c r="AA363" s="2460"/>
      <c r="AB363" s="2460"/>
      <c r="AC363" s="2460"/>
      <c r="AD363" s="2460"/>
      <c r="AE363" s="2460"/>
      <c r="AF363" s="2460"/>
      <c r="AG363" s="2460"/>
      <c r="AH363" s="2460"/>
      <c r="AI363" s="2460"/>
      <c r="AJ363" s="2460"/>
      <c r="AK363" s="601"/>
      <c r="AL363" s="601"/>
      <c r="AM363" s="601"/>
      <c r="AN363" s="595"/>
      <c r="AQ363" s="568"/>
      <c r="AR363" s="568"/>
    </row>
    <row r="364" spans="1:44" s="549" customFormat="1" ht="30" customHeight="1">
      <c r="A364" s="601"/>
      <c r="B364" s="609"/>
      <c r="C364" s="2460"/>
      <c r="D364" s="2460"/>
      <c r="E364" s="2460"/>
      <c r="F364" s="2460"/>
      <c r="G364" s="2460"/>
      <c r="H364" s="2460"/>
      <c r="I364" s="2460"/>
      <c r="J364" s="2460"/>
      <c r="K364" s="2460"/>
      <c r="L364" s="2460"/>
      <c r="M364" s="2460"/>
      <c r="N364" s="2460"/>
      <c r="O364" s="2460"/>
      <c r="P364" s="2460"/>
      <c r="Q364" s="2460"/>
      <c r="R364" s="2460"/>
      <c r="S364" s="2460"/>
      <c r="T364" s="2460"/>
      <c r="U364" s="2460"/>
      <c r="V364" s="2460"/>
      <c r="W364" s="2460"/>
      <c r="X364" s="2460"/>
      <c r="Y364" s="2460"/>
      <c r="Z364" s="2460"/>
      <c r="AA364" s="2460"/>
      <c r="AB364" s="2460"/>
      <c r="AC364" s="2460"/>
      <c r="AD364" s="2460"/>
      <c r="AE364" s="2460"/>
      <c r="AF364" s="2460"/>
      <c r="AG364" s="2460"/>
      <c r="AH364" s="2460"/>
      <c r="AI364" s="2460"/>
      <c r="AJ364" s="2460"/>
      <c r="AK364" s="601"/>
      <c r="AL364" s="601"/>
      <c r="AM364" s="601"/>
      <c r="AN364" s="595"/>
      <c r="AR364" s="568"/>
    </row>
    <row r="365" spans="1:44" s="549" customFormat="1" ht="12.75" customHeight="1">
      <c r="A365" s="601"/>
      <c r="B365" s="609"/>
      <c r="C365" s="2460"/>
      <c r="D365" s="2460"/>
      <c r="E365" s="2460"/>
      <c r="F365" s="2460"/>
      <c r="G365" s="2460"/>
      <c r="H365" s="2460"/>
      <c r="I365" s="2460"/>
      <c r="J365" s="2460"/>
      <c r="K365" s="2460"/>
      <c r="L365" s="2460"/>
      <c r="M365" s="2460"/>
      <c r="N365" s="2460"/>
      <c r="O365" s="2460"/>
      <c r="P365" s="2460"/>
      <c r="Q365" s="2460"/>
      <c r="R365" s="2460"/>
      <c r="S365" s="2460"/>
      <c r="T365" s="2460"/>
      <c r="U365" s="2460"/>
      <c r="V365" s="2460"/>
      <c r="W365" s="2460"/>
      <c r="X365" s="2460"/>
      <c r="Y365" s="2460"/>
      <c r="Z365" s="2460"/>
      <c r="AA365" s="2460"/>
      <c r="AB365" s="2460"/>
      <c r="AC365" s="2460"/>
      <c r="AD365" s="2460"/>
      <c r="AE365" s="2460"/>
      <c r="AF365" s="2460"/>
      <c r="AG365" s="2460"/>
      <c r="AH365" s="2460"/>
      <c r="AI365" s="2460"/>
      <c r="AJ365" s="2460"/>
      <c r="AK365" s="601"/>
      <c r="AL365" s="601"/>
      <c r="AM365" s="601"/>
      <c r="AN365" s="595"/>
      <c r="AR365" s="568"/>
    </row>
    <row r="366" spans="1:44" s="549" customFormat="1" ht="12.75" customHeight="1">
      <c r="A366" s="601"/>
      <c r="B366" s="609"/>
      <c r="C366" s="2460" t="s">
        <v>1444</v>
      </c>
      <c r="D366" s="2460"/>
      <c r="E366" s="2460"/>
      <c r="F366" s="2460"/>
      <c r="G366" s="2460"/>
      <c r="H366" s="2460"/>
      <c r="I366" s="2460"/>
      <c r="J366" s="2460"/>
      <c r="K366" s="2460"/>
      <c r="L366" s="2460"/>
      <c r="M366" s="2460"/>
      <c r="N366" s="2460"/>
      <c r="O366" s="2460"/>
      <c r="P366" s="2460"/>
      <c r="Q366" s="2460"/>
      <c r="R366" s="2460"/>
      <c r="S366" s="2460"/>
      <c r="T366" s="2460"/>
      <c r="U366" s="2460"/>
      <c r="V366" s="2460"/>
      <c r="W366" s="2460"/>
      <c r="X366" s="2460"/>
      <c r="Y366" s="2460"/>
      <c r="Z366" s="2460"/>
      <c r="AA366" s="2460"/>
      <c r="AB366" s="2460"/>
      <c r="AC366" s="2460"/>
      <c r="AD366" s="2460"/>
      <c r="AE366" s="2460"/>
      <c r="AF366" s="2460"/>
      <c r="AG366" s="2460"/>
      <c r="AH366" s="2460"/>
      <c r="AI366" s="2460"/>
      <c r="AJ366" s="2460"/>
      <c r="AK366" s="601"/>
      <c r="AL366" s="601"/>
      <c r="AM366" s="601"/>
      <c r="AN366" s="595"/>
      <c r="AQ366" s="568"/>
      <c r="AR366" s="568"/>
    </row>
    <row r="367" spans="1:44" s="549" customFormat="1" ht="12.75" customHeight="1">
      <c r="A367" s="601"/>
      <c r="B367" s="609"/>
      <c r="C367" s="2460"/>
      <c r="D367" s="2460"/>
      <c r="E367" s="2460"/>
      <c r="F367" s="2460"/>
      <c r="G367" s="2460"/>
      <c r="H367" s="2460"/>
      <c r="I367" s="2460"/>
      <c r="J367" s="2460"/>
      <c r="K367" s="2460"/>
      <c r="L367" s="2460"/>
      <c r="M367" s="2460"/>
      <c r="N367" s="2460"/>
      <c r="O367" s="2460"/>
      <c r="P367" s="2460"/>
      <c r="Q367" s="2460"/>
      <c r="R367" s="2460"/>
      <c r="S367" s="2460"/>
      <c r="T367" s="2460"/>
      <c r="U367" s="2460"/>
      <c r="V367" s="2460"/>
      <c r="W367" s="2460"/>
      <c r="X367" s="2460"/>
      <c r="Y367" s="2460"/>
      <c r="Z367" s="2460"/>
      <c r="AA367" s="2460"/>
      <c r="AB367" s="2460"/>
      <c r="AC367" s="2460"/>
      <c r="AD367" s="2460"/>
      <c r="AE367" s="2460"/>
      <c r="AF367" s="2460"/>
      <c r="AG367" s="2460"/>
      <c r="AH367" s="2460"/>
      <c r="AI367" s="2460"/>
      <c r="AJ367" s="2460"/>
      <c r="AK367" s="601"/>
      <c r="AL367" s="601"/>
      <c r="AM367" s="601"/>
      <c r="AN367" s="595"/>
      <c r="AQ367" s="568"/>
      <c r="AR367" s="568"/>
    </row>
    <row r="368" spans="1:44" s="549" customFormat="1" ht="13.15" customHeight="1">
      <c r="A368" s="601"/>
      <c r="B368" s="609"/>
      <c r="C368" s="2460"/>
      <c r="D368" s="2460"/>
      <c r="E368" s="2460"/>
      <c r="F368" s="2460"/>
      <c r="G368" s="2460"/>
      <c r="H368" s="2460"/>
      <c r="I368" s="2460"/>
      <c r="J368" s="2460"/>
      <c r="K368" s="2460"/>
      <c r="L368" s="2460"/>
      <c r="M368" s="2460"/>
      <c r="N368" s="2460"/>
      <c r="O368" s="2460"/>
      <c r="P368" s="2460"/>
      <c r="Q368" s="2460"/>
      <c r="R368" s="2460"/>
      <c r="S368" s="2460"/>
      <c r="T368" s="2460"/>
      <c r="U368" s="2460"/>
      <c r="V368" s="2460"/>
      <c r="W368" s="2460"/>
      <c r="X368" s="2460"/>
      <c r="Y368" s="2460"/>
      <c r="Z368" s="2460"/>
      <c r="AA368" s="2460"/>
      <c r="AB368" s="2460"/>
      <c r="AC368" s="2460"/>
      <c r="AD368" s="2460"/>
      <c r="AE368" s="2460"/>
      <c r="AF368" s="2460"/>
      <c r="AG368" s="2460"/>
      <c r="AH368" s="2460"/>
      <c r="AI368" s="2460"/>
      <c r="AJ368" s="2460"/>
      <c r="AK368" s="601"/>
      <c r="AL368" s="601"/>
      <c r="AM368" s="601"/>
      <c r="AN368" s="595"/>
      <c r="AQ368" s="568"/>
      <c r="AR368" s="568"/>
    </row>
    <row r="369" spans="1:46" s="549" customFormat="1" ht="12.75" customHeight="1">
      <c r="A369" s="601"/>
      <c r="B369" s="609"/>
      <c r="C369" s="2460"/>
      <c r="D369" s="2460"/>
      <c r="E369" s="2460"/>
      <c r="F369" s="2460"/>
      <c r="G369" s="2460"/>
      <c r="H369" s="2460"/>
      <c r="I369" s="2460"/>
      <c r="J369" s="2460"/>
      <c r="K369" s="2460"/>
      <c r="L369" s="2460"/>
      <c r="M369" s="2460"/>
      <c r="N369" s="2460"/>
      <c r="O369" s="2460"/>
      <c r="P369" s="2460"/>
      <c r="Q369" s="2460"/>
      <c r="R369" s="2460"/>
      <c r="S369" s="2460"/>
      <c r="T369" s="2460"/>
      <c r="U369" s="2460"/>
      <c r="V369" s="2460"/>
      <c r="W369" s="2460"/>
      <c r="X369" s="2460"/>
      <c r="Y369" s="2460"/>
      <c r="Z369" s="2460"/>
      <c r="AA369" s="2460"/>
      <c r="AB369" s="2460"/>
      <c r="AC369" s="2460"/>
      <c r="AD369" s="2460"/>
      <c r="AE369" s="2460"/>
      <c r="AF369" s="2460"/>
      <c r="AG369" s="2460"/>
      <c r="AH369" s="2460"/>
      <c r="AI369" s="2460"/>
      <c r="AJ369" s="2460"/>
      <c r="AK369" s="601"/>
      <c r="AL369" s="601"/>
      <c r="AM369" s="601"/>
      <c r="AN369" s="595"/>
      <c r="AO369" s="690"/>
      <c r="AP369" s="690"/>
      <c r="AQ369" s="568"/>
    </row>
    <row r="370" spans="1:46" s="549" customFormat="1" ht="11.85" customHeight="1">
      <c r="A370" s="601"/>
      <c r="B370" s="609"/>
      <c r="C370" s="2460"/>
      <c r="D370" s="2460"/>
      <c r="E370" s="2460"/>
      <c r="F370" s="2460"/>
      <c r="G370" s="2460"/>
      <c r="H370" s="2460"/>
      <c r="I370" s="2460"/>
      <c r="J370" s="2460"/>
      <c r="K370" s="2460"/>
      <c r="L370" s="2460"/>
      <c r="M370" s="2460"/>
      <c r="N370" s="2460"/>
      <c r="O370" s="2460"/>
      <c r="P370" s="2460"/>
      <c r="Q370" s="2460"/>
      <c r="R370" s="2460"/>
      <c r="S370" s="2460"/>
      <c r="T370" s="2460"/>
      <c r="U370" s="2460"/>
      <c r="V370" s="2460"/>
      <c r="W370" s="2460"/>
      <c r="X370" s="2460"/>
      <c r="Y370" s="2460"/>
      <c r="Z370" s="2460"/>
      <c r="AA370" s="2460"/>
      <c r="AB370" s="2460"/>
      <c r="AC370" s="2460"/>
      <c r="AD370" s="2460"/>
      <c r="AE370" s="2460"/>
      <c r="AF370" s="2460"/>
      <c r="AG370" s="2460"/>
      <c r="AH370" s="2460"/>
      <c r="AI370" s="2460"/>
      <c r="AJ370" s="2460"/>
      <c r="AK370" s="601"/>
      <c r="AL370" s="601"/>
      <c r="AM370" s="601"/>
      <c r="AN370" s="595"/>
      <c r="AO370" s="691" t="s">
        <v>112</v>
      </c>
      <c r="AP370" s="692">
        <f>IF(C394="Yes",5,0)</f>
        <v>0</v>
      </c>
      <c r="AS370" s="539" t="s">
        <v>1445</v>
      </c>
    </row>
    <row r="371" spans="1:46" s="549" customFormat="1" ht="12.75" customHeight="1">
      <c r="A371" s="601"/>
      <c r="B371" s="609"/>
      <c r="C371" s="2460"/>
      <c r="D371" s="2460"/>
      <c r="E371" s="2460"/>
      <c r="F371" s="2460"/>
      <c r="G371" s="2460"/>
      <c r="H371" s="2460"/>
      <c r="I371" s="2460"/>
      <c r="J371" s="2460"/>
      <c r="K371" s="2460"/>
      <c r="L371" s="2460"/>
      <c r="M371" s="2460"/>
      <c r="N371" s="2460"/>
      <c r="O371" s="2460"/>
      <c r="P371" s="2460"/>
      <c r="Q371" s="2460"/>
      <c r="R371" s="2460"/>
      <c r="S371" s="2460"/>
      <c r="T371" s="2460"/>
      <c r="U371" s="2460"/>
      <c r="V371" s="2460"/>
      <c r="W371" s="2460"/>
      <c r="X371" s="2460"/>
      <c r="Y371" s="2460"/>
      <c r="Z371" s="2460"/>
      <c r="AA371" s="2460"/>
      <c r="AB371" s="2460"/>
      <c r="AC371" s="2460"/>
      <c r="AD371" s="2460"/>
      <c r="AE371" s="2460"/>
      <c r="AF371" s="2460"/>
      <c r="AG371" s="2460"/>
      <c r="AH371" s="2460"/>
      <c r="AI371" s="2460"/>
      <c r="AJ371" s="2460"/>
      <c r="AK371" s="601"/>
      <c r="AL371" s="601"/>
      <c r="AM371" s="601"/>
      <c r="AN371" s="595"/>
      <c r="AO371" s="691" t="s">
        <v>113</v>
      </c>
      <c r="AP371" s="692">
        <f>IF(C402="Yes",5,0)</f>
        <v>0</v>
      </c>
      <c r="AS371" s="2528">
        <f>IF(Application!D211="Non-Targeted",(SUM(AQ379+AQ388)),AS375)</f>
        <v>10</v>
      </c>
      <c r="AT371" s="2528"/>
    </row>
    <row r="372" spans="1:46" s="549" customFormat="1" ht="12.75" customHeight="1">
      <c r="A372" s="601"/>
      <c r="B372" s="609"/>
      <c r="C372" s="2460"/>
      <c r="D372" s="2460"/>
      <c r="E372" s="2460"/>
      <c r="F372" s="2460"/>
      <c r="G372" s="2460"/>
      <c r="H372" s="2460"/>
      <c r="I372" s="2460"/>
      <c r="J372" s="2460"/>
      <c r="K372" s="2460"/>
      <c r="L372" s="2460"/>
      <c r="M372" s="2460"/>
      <c r="N372" s="2460"/>
      <c r="O372" s="2460"/>
      <c r="P372" s="2460"/>
      <c r="Q372" s="2460"/>
      <c r="R372" s="2460"/>
      <c r="S372" s="2460"/>
      <c r="T372" s="2460"/>
      <c r="U372" s="2460"/>
      <c r="V372" s="2460"/>
      <c r="W372" s="2460"/>
      <c r="X372" s="2460"/>
      <c r="Y372" s="2460"/>
      <c r="Z372" s="2460"/>
      <c r="AA372" s="2460"/>
      <c r="AB372" s="2460"/>
      <c r="AC372" s="2460"/>
      <c r="AD372" s="2460"/>
      <c r="AE372" s="2460"/>
      <c r="AF372" s="2460"/>
      <c r="AG372" s="2460"/>
      <c r="AH372" s="2460"/>
      <c r="AI372" s="2460"/>
      <c r="AJ372" s="2460"/>
      <c r="AK372" s="601"/>
      <c r="AL372" s="601"/>
      <c r="AM372" s="601"/>
      <c r="AN372" s="595"/>
      <c r="AO372" s="691" t="s">
        <v>119</v>
      </c>
      <c r="AP372" s="692">
        <f>IF(C410="Yes",7,0)</f>
        <v>0</v>
      </c>
      <c r="AS372" s="539" t="s">
        <v>1446</v>
      </c>
    </row>
    <row r="373" spans="1:46" s="549" customFormat="1" ht="12.75" customHeight="1">
      <c r="B373" s="609"/>
      <c r="C373" s="2460"/>
      <c r="D373" s="2460"/>
      <c r="E373" s="2460"/>
      <c r="F373" s="2460"/>
      <c r="G373" s="2460"/>
      <c r="H373" s="2460"/>
      <c r="I373" s="2460"/>
      <c r="J373" s="2460"/>
      <c r="K373" s="2460"/>
      <c r="L373" s="2460"/>
      <c r="M373" s="2460"/>
      <c r="N373" s="2460"/>
      <c r="O373" s="2460"/>
      <c r="P373" s="2460"/>
      <c r="Q373" s="2460"/>
      <c r="R373" s="2460"/>
      <c r="S373" s="2460"/>
      <c r="T373" s="2460"/>
      <c r="U373" s="2460"/>
      <c r="V373" s="2460"/>
      <c r="W373" s="2460"/>
      <c r="X373" s="2460"/>
      <c r="Y373" s="2460"/>
      <c r="Z373" s="2460"/>
      <c r="AA373" s="2460"/>
      <c r="AB373" s="2460"/>
      <c r="AC373" s="2460"/>
      <c r="AD373" s="2460"/>
      <c r="AE373" s="2460"/>
      <c r="AF373" s="2460"/>
      <c r="AG373" s="2460"/>
      <c r="AH373" s="2460"/>
      <c r="AI373" s="2460"/>
      <c r="AJ373" s="2460"/>
      <c r="AK373" s="601"/>
      <c r="AL373" s="601"/>
      <c r="AM373" s="601"/>
      <c r="AN373" s="595"/>
      <c r="AO373" s="595"/>
      <c r="AP373" s="692">
        <f>IF(C412="Yes",5,0)</f>
        <v>5</v>
      </c>
      <c r="AS373" s="2528">
        <f>IF(AND(AQ379&gt;0,AQ388&gt;0),(AQ379+AQ388)/2,0)</f>
        <v>0</v>
      </c>
      <c r="AT373" s="2528"/>
    </row>
    <row r="374" spans="1:46" s="549" customFormat="1" ht="12.75" customHeight="1">
      <c r="A374" s="601"/>
      <c r="B374" s="609"/>
      <c r="C374" s="2460"/>
      <c r="D374" s="2460"/>
      <c r="E374" s="2460"/>
      <c r="F374" s="2460"/>
      <c r="G374" s="2460"/>
      <c r="H374" s="2460"/>
      <c r="I374" s="2460"/>
      <c r="J374" s="2460"/>
      <c r="K374" s="2460"/>
      <c r="L374" s="2460"/>
      <c r="M374" s="2460"/>
      <c r="N374" s="2460"/>
      <c r="O374" s="2460"/>
      <c r="P374" s="2460"/>
      <c r="Q374" s="2460"/>
      <c r="R374" s="2460"/>
      <c r="S374" s="2460"/>
      <c r="T374" s="2460"/>
      <c r="U374" s="2460"/>
      <c r="V374" s="2460"/>
      <c r="W374" s="2460"/>
      <c r="X374" s="2460"/>
      <c r="Y374" s="2460"/>
      <c r="Z374" s="2460"/>
      <c r="AA374" s="2460"/>
      <c r="AB374" s="2460"/>
      <c r="AC374" s="2460"/>
      <c r="AD374" s="2460"/>
      <c r="AE374" s="2460"/>
      <c r="AF374" s="2460"/>
      <c r="AG374" s="2460"/>
      <c r="AH374" s="2460"/>
      <c r="AI374" s="2460"/>
      <c r="AJ374" s="2460"/>
      <c r="AK374" s="601"/>
      <c r="AL374" s="601"/>
      <c r="AM374" s="601"/>
      <c r="AN374" s="595"/>
      <c r="AO374" s="691" t="s">
        <v>579</v>
      </c>
      <c r="AP374" s="692">
        <f>IF(C420="Yes",5,0)</f>
        <v>0</v>
      </c>
      <c r="AS374" s="539" t="s">
        <v>1850</v>
      </c>
    </row>
    <row r="375" spans="1:46" s="549" customFormat="1" ht="12.75" customHeight="1">
      <c r="A375" s="601"/>
      <c r="B375" s="609"/>
      <c r="C375" s="2529" t="s">
        <v>2183</v>
      </c>
      <c r="D375" s="2529"/>
      <c r="E375" s="2529"/>
      <c r="F375" s="2529"/>
      <c r="G375" s="2529"/>
      <c r="H375" s="2529"/>
      <c r="I375" s="2529"/>
      <c r="J375" s="2529"/>
      <c r="K375" s="2529"/>
      <c r="L375" s="2529"/>
      <c r="M375" s="2529"/>
      <c r="N375" s="2529"/>
      <c r="O375" s="2529"/>
      <c r="P375" s="2529"/>
      <c r="Q375" s="2529"/>
      <c r="R375" s="2529"/>
      <c r="S375" s="2529"/>
      <c r="T375" s="2529"/>
      <c r="U375" s="2529"/>
      <c r="V375" s="2529"/>
      <c r="W375" s="2529"/>
      <c r="X375" s="2529"/>
      <c r="Y375" s="2529"/>
      <c r="Z375" s="2529"/>
      <c r="AA375" s="2529"/>
      <c r="AB375" s="2529"/>
      <c r="AC375" s="2529"/>
      <c r="AD375" s="2529"/>
      <c r="AE375" s="2529"/>
      <c r="AF375" s="2529"/>
      <c r="AG375" s="2529"/>
      <c r="AH375" s="2529"/>
      <c r="AI375" s="2529"/>
      <c r="AJ375" s="2529"/>
      <c r="AK375" s="601"/>
      <c r="AL375" s="601"/>
      <c r="AM375" s="601"/>
      <c r="AN375" s="595"/>
      <c r="AO375" s="595"/>
      <c r="AP375" s="692">
        <f>IF(C422="Yes",3,0)</f>
        <v>0</v>
      </c>
      <c r="AS375" s="2528">
        <f>IF(AQ379=0,AQ388,AQ379)</f>
        <v>10</v>
      </c>
      <c r="AT375" s="2528"/>
    </row>
    <row r="376" spans="1:46" s="549" customFormat="1" ht="12.75" customHeight="1">
      <c r="A376" s="601"/>
      <c r="B376" s="609"/>
      <c r="C376" s="2529"/>
      <c r="D376" s="2529"/>
      <c r="E376" s="2529"/>
      <c r="F376" s="2529"/>
      <c r="G376" s="2529"/>
      <c r="H376" s="2529"/>
      <c r="I376" s="2529"/>
      <c r="J376" s="2529"/>
      <c r="K376" s="2529"/>
      <c r="L376" s="2529"/>
      <c r="M376" s="2529"/>
      <c r="N376" s="2529"/>
      <c r="O376" s="2529"/>
      <c r="P376" s="2529"/>
      <c r="Q376" s="2529"/>
      <c r="R376" s="2529"/>
      <c r="S376" s="2529"/>
      <c r="T376" s="2529"/>
      <c r="U376" s="2529"/>
      <c r="V376" s="2529"/>
      <c r="W376" s="2529"/>
      <c r="X376" s="2529"/>
      <c r="Y376" s="2529"/>
      <c r="Z376" s="2529"/>
      <c r="AA376" s="2529"/>
      <c r="AB376" s="2529"/>
      <c r="AC376" s="2529"/>
      <c r="AD376" s="2529"/>
      <c r="AE376" s="2529"/>
      <c r="AF376" s="2529"/>
      <c r="AG376" s="2529"/>
      <c r="AH376" s="2529"/>
      <c r="AI376" s="2529"/>
      <c r="AJ376" s="2529"/>
      <c r="AK376" s="601"/>
      <c r="AL376" s="601"/>
      <c r="AM376" s="601"/>
      <c r="AN376" s="595"/>
      <c r="AO376" s="691" t="s">
        <v>761</v>
      </c>
      <c r="AP376" s="692">
        <f>IF(C425="Yes",5,0)</f>
        <v>0</v>
      </c>
    </row>
    <row r="377" spans="1:46" s="549" customFormat="1" ht="12.75" customHeight="1">
      <c r="A377" s="601"/>
      <c r="B377" s="609"/>
      <c r="C377" s="2529"/>
      <c r="D377" s="2529"/>
      <c r="E377" s="2529"/>
      <c r="F377" s="2529"/>
      <c r="G377" s="2529"/>
      <c r="H377" s="2529"/>
      <c r="I377" s="2529"/>
      <c r="J377" s="2529"/>
      <c r="K377" s="2529"/>
      <c r="L377" s="2529"/>
      <c r="M377" s="2529"/>
      <c r="N377" s="2529"/>
      <c r="O377" s="2529"/>
      <c r="P377" s="2529"/>
      <c r="Q377" s="2529"/>
      <c r="R377" s="2529"/>
      <c r="S377" s="2529"/>
      <c r="T377" s="2529"/>
      <c r="U377" s="2529"/>
      <c r="V377" s="2529"/>
      <c r="W377" s="2529"/>
      <c r="X377" s="2529"/>
      <c r="Y377" s="2529"/>
      <c r="Z377" s="2529"/>
      <c r="AA377" s="2529"/>
      <c r="AB377" s="2529"/>
      <c r="AC377" s="2529"/>
      <c r="AD377" s="2529"/>
      <c r="AE377" s="2529"/>
      <c r="AF377" s="2529"/>
      <c r="AG377" s="2529"/>
      <c r="AH377" s="2529"/>
      <c r="AI377" s="2529"/>
      <c r="AJ377" s="2529"/>
      <c r="AK377" s="601"/>
      <c r="AL377" s="601"/>
      <c r="AM377" s="601"/>
      <c r="AN377" s="595"/>
      <c r="AO377" s="691" t="s">
        <v>582</v>
      </c>
      <c r="AP377" s="692">
        <f>IF(C434="Yes",5,0)</f>
        <v>5</v>
      </c>
    </row>
    <row r="378" spans="1:46" s="549" customFormat="1" ht="11.85" customHeight="1">
      <c r="A378" s="601"/>
      <c r="B378" s="609"/>
      <c r="C378" s="2529"/>
      <c r="D378" s="2529"/>
      <c r="E378" s="2529"/>
      <c r="F378" s="2529"/>
      <c r="G378" s="2529"/>
      <c r="H378" s="2529"/>
      <c r="I378" s="2529"/>
      <c r="J378" s="2529"/>
      <c r="K378" s="2529"/>
      <c r="L378" s="2529"/>
      <c r="M378" s="2529"/>
      <c r="N378" s="2529"/>
      <c r="O378" s="2529"/>
      <c r="P378" s="2529"/>
      <c r="Q378" s="2529"/>
      <c r="R378" s="2529"/>
      <c r="S378" s="2529"/>
      <c r="T378" s="2529"/>
      <c r="U378" s="2529"/>
      <c r="V378" s="2529"/>
      <c r="W378" s="2529"/>
      <c r="X378" s="2529"/>
      <c r="Y378" s="2529"/>
      <c r="Z378" s="2529"/>
      <c r="AA378" s="2529"/>
      <c r="AB378" s="2529"/>
      <c r="AC378" s="2529"/>
      <c r="AD378" s="2529"/>
      <c r="AE378" s="2529"/>
      <c r="AF378" s="2529"/>
      <c r="AG378" s="2529"/>
      <c r="AH378" s="2529"/>
      <c r="AI378" s="2529"/>
      <c r="AJ378" s="2529"/>
      <c r="AK378" s="601"/>
      <c r="AL378" s="601"/>
      <c r="AM378" s="601"/>
      <c r="AN378" s="595"/>
      <c r="AO378" s="693"/>
      <c r="AP378" s="694">
        <f>IF(C436="Yes",3,0)</f>
        <v>0</v>
      </c>
    </row>
    <row r="379" spans="1:46" s="549" customFormat="1" ht="12.4" customHeight="1">
      <c r="A379" s="601"/>
      <c r="B379" s="609"/>
      <c r="C379" s="2529"/>
      <c r="D379" s="2529"/>
      <c r="E379" s="2529"/>
      <c r="F379" s="2529"/>
      <c r="G379" s="2529"/>
      <c r="H379" s="2529"/>
      <c r="I379" s="2529"/>
      <c r="J379" s="2529"/>
      <c r="K379" s="2529"/>
      <c r="L379" s="2529"/>
      <c r="M379" s="2529"/>
      <c r="N379" s="2529"/>
      <c r="O379" s="2529"/>
      <c r="P379" s="2529"/>
      <c r="Q379" s="2529"/>
      <c r="R379" s="2529"/>
      <c r="S379" s="2529"/>
      <c r="T379" s="2529"/>
      <c r="U379" s="2529"/>
      <c r="V379" s="2529"/>
      <c r="W379" s="2529"/>
      <c r="X379" s="2529"/>
      <c r="Y379" s="2529"/>
      <c r="Z379" s="2529"/>
      <c r="AA379" s="2529"/>
      <c r="AB379" s="2529"/>
      <c r="AC379" s="2529"/>
      <c r="AD379" s="2529"/>
      <c r="AE379" s="2529"/>
      <c r="AF379" s="2529"/>
      <c r="AG379" s="2529"/>
      <c r="AH379" s="2529"/>
      <c r="AI379" s="2529"/>
      <c r="AJ379" s="2529"/>
      <c r="AK379" s="601"/>
      <c r="AL379" s="601"/>
      <c r="AM379" s="601"/>
      <c r="AN379" s="595"/>
      <c r="AO379" s="695" t="s">
        <v>226</v>
      </c>
      <c r="AP379" s="696">
        <f>SUM(AP370:AP378)</f>
        <v>10</v>
      </c>
      <c r="AQ379" s="2463">
        <f>IF(AP379&gt;0,AP379,0)</f>
        <v>10</v>
      </c>
      <c r="AR379" s="2463"/>
    </row>
    <row r="380" spans="1:46" s="549" customFormat="1" ht="12.75" customHeight="1">
      <c r="A380" s="601"/>
      <c r="B380" s="609"/>
      <c r="C380" s="2529"/>
      <c r="D380" s="2529"/>
      <c r="E380" s="2529"/>
      <c r="F380" s="2529"/>
      <c r="G380" s="2529"/>
      <c r="H380" s="2529"/>
      <c r="I380" s="2529"/>
      <c r="J380" s="2529"/>
      <c r="K380" s="2529"/>
      <c r="L380" s="2529"/>
      <c r="M380" s="2529"/>
      <c r="N380" s="2529"/>
      <c r="O380" s="2529"/>
      <c r="P380" s="2529"/>
      <c r="Q380" s="2529"/>
      <c r="R380" s="2529"/>
      <c r="S380" s="2529"/>
      <c r="T380" s="2529"/>
      <c r="U380" s="2529"/>
      <c r="V380" s="2529"/>
      <c r="W380" s="2529"/>
      <c r="X380" s="2529"/>
      <c r="Y380" s="2529"/>
      <c r="Z380" s="2529"/>
      <c r="AA380" s="2529"/>
      <c r="AB380" s="2529"/>
      <c r="AC380" s="2529"/>
      <c r="AD380" s="2529"/>
      <c r="AE380" s="2529"/>
      <c r="AF380" s="2529"/>
      <c r="AG380" s="2529"/>
      <c r="AH380" s="2529"/>
      <c r="AI380" s="2529"/>
      <c r="AJ380" s="252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453</v>
      </c>
      <c r="AP381" s="692">
        <f>IF(C443="Yes",5,0)</f>
        <v>0</v>
      </c>
    </row>
    <row r="382" spans="1:46" s="549" customFormat="1" ht="12.75" customHeight="1">
      <c r="A382" s="601"/>
      <c r="B382" s="609"/>
      <c r="C382" s="2460" t="s">
        <v>1447</v>
      </c>
      <c r="D382" s="2460"/>
      <c r="E382" s="2460"/>
      <c r="F382" s="2460"/>
      <c r="G382" s="2460"/>
      <c r="H382" s="2460"/>
      <c r="I382" s="2460"/>
      <c r="J382" s="2460"/>
      <c r="K382" s="2460"/>
      <c r="L382" s="2460"/>
      <c r="M382" s="2460"/>
      <c r="N382" s="2460"/>
      <c r="O382" s="2460"/>
      <c r="P382" s="2460"/>
      <c r="Q382" s="2460"/>
      <c r="R382" s="2460"/>
      <c r="S382" s="2460"/>
      <c r="T382" s="2460"/>
      <c r="U382" s="2460"/>
      <c r="V382" s="2460"/>
      <c r="W382" s="2460"/>
      <c r="X382" s="2460"/>
      <c r="Y382" s="2460"/>
      <c r="Z382" s="2460"/>
      <c r="AA382" s="2460"/>
      <c r="AB382" s="2460"/>
      <c r="AC382" s="2460"/>
      <c r="AD382" s="2460"/>
      <c r="AE382" s="2460"/>
      <c r="AF382" s="2460"/>
      <c r="AG382" s="2460"/>
      <c r="AH382" s="2460"/>
      <c r="AI382" s="2460"/>
      <c r="AJ382" s="2460"/>
      <c r="AK382" s="601"/>
      <c r="AL382" s="601"/>
      <c r="AM382" s="601"/>
      <c r="AN382" s="595"/>
      <c r="AO382" s="691" t="s">
        <v>454</v>
      </c>
      <c r="AP382" s="692">
        <f>IF(C455="Yes",5,0)</f>
        <v>0</v>
      </c>
    </row>
    <row r="383" spans="1:46" s="549" customFormat="1" ht="12.75" customHeight="1">
      <c r="A383" s="601"/>
      <c r="B383" s="609"/>
      <c r="C383" s="2460"/>
      <c r="D383" s="2460"/>
      <c r="E383" s="2460"/>
      <c r="F383" s="2460"/>
      <c r="G383" s="2460"/>
      <c r="H383" s="2460"/>
      <c r="I383" s="2460"/>
      <c r="J383" s="2460"/>
      <c r="K383" s="2460"/>
      <c r="L383" s="2460"/>
      <c r="M383" s="2460"/>
      <c r="N383" s="2460"/>
      <c r="O383" s="2460"/>
      <c r="P383" s="2460"/>
      <c r="Q383" s="2460"/>
      <c r="R383" s="2460"/>
      <c r="S383" s="2460"/>
      <c r="T383" s="2460"/>
      <c r="U383" s="2460"/>
      <c r="V383" s="2460"/>
      <c r="W383" s="2460"/>
      <c r="X383" s="2460"/>
      <c r="Y383" s="2460"/>
      <c r="Z383" s="2460"/>
      <c r="AA383" s="2460"/>
      <c r="AB383" s="2460"/>
      <c r="AC383" s="2460"/>
      <c r="AD383" s="2460"/>
      <c r="AE383" s="2460"/>
      <c r="AF383" s="2460"/>
      <c r="AG383" s="2460"/>
      <c r="AH383" s="2460"/>
      <c r="AI383" s="2460"/>
      <c r="AJ383" s="2460"/>
      <c r="AK383" s="601"/>
      <c r="AL383" s="601"/>
      <c r="AM383" s="601"/>
      <c r="AN383" s="595"/>
      <c r="AO383" s="691" t="s">
        <v>459</v>
      </c>
      <c r="AP383" s="692">
        <f>IF(C462="Yes",5,0)</f>
        <v>0</v>
      </c>
    </row>
    <row r="384" spans="1:46" s="549" customFormat="1" ht="68.099999999999994" customHeight="1">
      <c r="A384" s="601"/>
      <c r="B384" s="609"/>
      <c r="C384" s="2460"/>
      <c r="D384" s="2460"/>
      <c r="E384" s="2460"/>
      <c r="F384" s="2460"/>
      <c r="G384" s="2460"/>
      <c r="H384" s="2460"/>
      <c r="I384" s="2460"/>
      <c r="J384" s="2460"/>
      <c r="K384" s="2460"/>
      <c r="L384" s="2460"/>
      <c r="M384" s="2460"/>
      <c r="N384" s="2460"/>
      <c r="O384" s="2460"/>
      <c r="P384" s="2460"/>
      <c r="Q384" s="2460"/>
      <c r="R384" s="2460"/>
      <c r="S384" s="2460"/>
      <c r="T384" s="2460"/>
      <c r="U384" s="2460"/>
      <c r="V384" s="2460"/>
      <c r="W384" s="2460"/>
      <c r="X384" s="2460"/>
      <c r="Y384" s="2460"/>
      <c r="Z384" s="2460"/>
      <c r="AA384" s="2460"/>
      <c r="AB384" s="2460"/>
      <c r="AC384" s="2460"/>
      <c r="AD384" s="2460"/>
      <c r="AE384" s="2460"/>
      <c r="AF384" s="2460"/>
      <c r="AG384" s="2460"/>
      <c r="AH384" s="2460"/>
      <c r="AI384" s="2460"/>
      <c r="AJ384" s="2460"/>
      <c r="AK384" s="601"/>
      <c r="AL384" s="601"/>
      <c r="AM384" s="601"/>
      <c r="AN384" s="595"/>
      <c r="AO384" s="691" t="s">
        <v>644</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360</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461">
        <f>Application!DU810-U387</f>
        <v>592</v>
      </c>
      <c r="V386" s="2461"/>
      <c r="W386" s="2461"/>
      <c r="X386" s="699"/>
      <c r="Y386" s="699"/>
      <c r="Z386" s="699"/>
      <c r="AA386" s="701"/>
      <c r="AB386" s="702"/>
      <c r="AC386" s="702"/>
      <c r="AD386" s="702"/>
      <c r="AE386" s="601"/>
      <c r="AF386" s="601"/>
      <c r="AG386" s="601"/>
      <c r="AH386" s="601"/>
      <c r="AI386" s="601"/>
      <c r="AJ386" s="601"/>
      <c r="AK386" s="601"/>
      <c r="AL386" s="601"/>
      <c r="AM386" s="601"/>
      <c r="AN386" s="595"/>
      <c r="AO386" s="691" t="s">
        <v>361</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462">
        <f>IF(Application!D211="SRO",Application!DU763,Application!AG764)</f>
        <v>0</v>
      </c>
      <c r="V387" s="2462"/>
      <c r="W387" s="2462"/>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3">
        <f>IF(AP388&gt;0,AP388,0)</f>
        <v>0</v>
      </c>
      <c r="AR388" s="2463"/>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39" t="s">
        <v>1449</v>
      </c>
      <c r="G390" s="2439"/>
      <c r="H390" s="2439"/>
      <c r="I390" s="2439"/>
      <c r="J390" s="2439"/>
      <c r="K390" s="2439"/>
      <c r="L390" s="2439"/>
      <c r="M390" s="2439"/>
      <c r="N390" s="2439"/>
      <c r="O390" s="2439"/>
      <c r="P390" s="2439"/>
      <c r="Q390" s="2439"/>
      <c r="R390" s="2439"/>
      <c r="S390" s="2439"/>
      <c r="T390" s="2439"/>
      <c r="U390" s="2439"/>
      <c r="V390" s="2439"/>
      <c r="W390" s="2439"/>
      <c r="X390" s="2439"/>
      <c r="Y390" s="2439"/>
      <c r="Z390" s="2439"/>
      <c r="AA390" s="2439"/>
      <c r="AB390" s="2439"/>
      <c r="AC390" s="2439"/>
      <c r="AD390" s="2439"/>
      <c r="AE390" s="2439"/>
      <c r="AF390" s="2439"/>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0"/>
      <c r="G391" s="2440"/>
      <c r="H391" s="2440"/>
      <c r="I391" s="2440"/>
      <c r="J391" s="2440"/>
      <c r="K391" s="2440"/>
      <c r="L391" s="2440"/>
      <c r="M391" s="2440"/>
      <c r="N391" s="2440"/>
      <c r="O391" s="2440"/>
      <c r="P391" s="2440"/>
      <c r="Q391" s="2440"/>
      <c r="R391" s="2440"/>
      <c r="S391" s="2440"/>
      <c r="T391" s="2440"/>
      <c r="U391" s="2440"/>
      <c r="V391" s="2440"/>
      <c r="W391" s="2440"/>
      <c r="X391" s="2440"/>
      <c r="Y391" s="2440"/>
      <c r="Z391" s="2440"/>
      <c r="AA391" s="2440"/>
      <c r="AB391" s="2440"/>
      <c r="AC391" s="2440"/>
      <c r="AD391" s="2440"/>
      <c r="AE391" s="2440"/>
      <c r="AF391" s="244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0"/>
      <c r="G392" s="2440"/>
      <c r="H392" s="2440"/>
      <c r="I392" s="2440"/>
      <c r="J392" s="2440"/>
      <c r="K392" s="2440"/>
      <c r="L392" s="2440"/>
      <c r="M392" s="2440"/>
      <c r="N392" s="2440"/>
      <c r="O392" s="2440"/>
      <c r="P392" s="2440"/>
      <c r="Q392" s="2440"/>
      <c r="R392" s="2440"/>
      <c r="S392" s="2440"/>
      <c r="T392" s="2440"/>
      <c r="U392" s="2440"/>
      <c r="V392" s="2440"/>
      <c r="W392" s="2440"/>
      <c r="X392" s="2440"/>
      <c r="Y392" s="2440"/>
      <c r="Z392" s="2440"/>
      <c r="AA392" s="2440"/>
      <c r="AB392" s="2440"/>
      <c r="AC392" s="2440"/>
      <c r="AD392" s="2440"/>
      <c r="AE392" s="2440"/>
      <c r="AF392" s="244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0"/>
      <c r="G393" s="2440"/>
      <c r="H393" s="2440"/>
      <c r="I393" s="2440"/>
      <c r="J393" s="2440"/>
      <c r="K393" s="2440"/>
      <c r="L393" s="2440"/>
      <c r="M393" s="2440"/>
      <c r="N393" s="2440"/>
      <c r="O393" s="2440"/>
      <c r="P393" s="2440"/>
      <c r="Q393" s="2440"/>
      <c r="R393" s="2440"/>
      <c r="S393" s="2440"/>
      <c r="T393" s="2440"/>
      <c r="U393" s="2440"/>
      <c r="V393" s="2440"/>
      <c r="W393" s="2440"/>
      <c r="X393" s="2440"/>
      <c r="Y393" s="2440"/>
      <c r="Z393" s="2440"/>
      <c r="AA393" s="2440"/>
      <c r="AB393" s="2440"/>
      <c r="AC393" s="2440"/>
      <c r="AD393" s="2440"/>
      <c r="AE393" s="2440"/>
      <c r="AF393" s="244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4" t="s">
        <v>589</v>
      </c>
      <c r="D394" s="2411"/>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5" t="s">
        <v>1451</v>
      </c>
      <c r="AG394" s="2465"/>
      <c r="AH394" s="2465"/>
      <c r="AI394" s="2465"/>
      <c r="AJ394" s="2465"/>
      <c r="AK394" s="2465"/>
      <c r="AL394" s="246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39" t="s">
        <v>1452</v>
      </c>
      <c r="G397" s="2439"/>
      <c r="H397" s="2439"/>
      <c r="I397" s="2439"/>
      <c r="J397" s="2439"/>
      <c r="K397" s="2439"/>
      <c r="L397" s="2439"/>
      <c r="M397" s="2439"/>
      <c r="N397" s="2439"/>
      <c r="O397" s="2439"/>
      <c r="P397" s="2439"/>
      <c r="Q397" s="2439"/>
      <c r="R397" s="2439"/>
      <c r="S397" s="2439"/>
      <c r="T397" s="2439"/>
      <c r="U397" s="2439"/>
      <c r="V397" s="2439"/>
      <c r="W397" s="2439"/>
      <c r="X397" s="2439"/>
      <c r="Y397" s="2439"/>
      <c r="Z397" s="2439"/>
      <c r="AA397" s="2439"/>
      <c r="AB397" s="2439"/>
      <c r="AC397" s="2439"/>
      <c r="AD397" s="2439"/>
      <c r="AE397" s="2439"/>
      <c r="AF397" s="2439"/>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0"/>
      <c r="G398" s="2440"/>
      <c r="H398" s="2440"/>
      <c r="I398" s="2440"/>
      <c r="J398" s="2440"/>
      <c r="K398" s="2440"/>
      <c r="L398" s="2440"/>
      <c r="M398" s="2440"/>
      <c r="N398" s="2440"/>
      <c r="O398" s="2440"/>
      <c r="P398" s="2440"/>
      <c r="Q398" s="2440"/>
      <c r="R398" s="2440"/>
      <c r="S398" s="2440"/>
      <c r="T398" s="2440"/>
      <c r="U398" s="2440"/>
      <c r="V398" s="2440"/>
      <c r="W398" s="2440"/>
      <c r="X398" s="2440"/>
      <c r="Y398" s="2440"/>
      <c r="Z398" s="2440"/>
      <c r="AA398" s="2440"/>
      <c r="AB398" s="2440"/>
      <c r="AC398" s="2440"/>
      <c r="AD398" s="2440"/>
      <c r="AE398" s="2440"/>
      <c r="AF398" s="244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0"/>
      <c r="G399" s="2440"/>
      <c r="H399" s="2440"/>
      <c r="I399" s="2440"/>
      <c r="J399" s="2440"/>
      <c r="K399" s="2440"/>
      <c r="L399" s="2440"/>
      <c r="M399" s="2440"/>
      <c r="N399" s="2440"/>
      <c r="O399" s="2440"/>
      <c r="P399" s="2440"/>
      <c r="Q399" s="2440"/>
      <c r="R399" s="2440"/>
      <c r="S399" s="2440"/>
      <c r="T399" s="2440"/>
      <c r="U399" s="2440"/>
      <c r="V399" s="2440"/>
      <c r="W399" s="2440"/>
      <c r="X399" s="2440"/>
      <c r="Y399" s="2440"/>
      <c r="Z399" s="2440"/>
      <c r="AA399" s="2440"/>
      <c r="AB399" s="2440"/>
      <c r="AC399" s="2440"/>
      <c r="AD399" s="2440"/>
      <c r="AE399" s="2440"/>
      <c r="AF399" s="244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0"/>
      <c r="G400" s="2440"/>
      <c r="H400" s="2440"/>
      <c r="I400" s="2440"/>
      <c r="J400" s="2440"/>
      <c r="K400" s="2440"/>
      <c r="L400" s="2440"/>
      <c r="M400" s="2440"/>
      <c r="N400" s="2440"/>
      <c r="O400" s="2440"/>
      <c r="P400" s="2440"/>
      <c r="Q400" s="2440"/>
      <c r="R400" s="2440"/>
      <c r="S400" s="2440"/>
      <c r="T400" s="2440"/>
      <c r="U400" s="2440"/>
      <c r="V400" s="2440"/>
      <c r="W400" s="2440"/>
      <c r="X400" s="2440"/>
      <c r="Y400" s="2440"/>
      <c r="Z400" s="2440"/>
      <c r="AA400" s="2440"/>
      <c r="AB400" s="2440"/>
      <c r="AC400" s="2440"/>
      <c r="AD400" s="2440"/>
      <c r="AE400" s="2440"/>
      <c r="AF400" s="244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0"/>
      <c r="G401" s="2440"/>
      <c r="H401" s="2440"/>
      <c r="I401" s="2440"/>
      <c r="J401" s="2440"/>
      <c r="K401" s="2440"/>
      <c r="L401" s="2440"/>
      <c r="M401" s="2440"/>
      <c r="N401" s="2440"/>
      <c r="O401" s="2440"/>
      <c r="P401" s="2440"/>
      <c r="Q401" s="2440"/>
      <c r="R401" s="2440"/>
      <c r="S401" s="2440"/>
      <c r="T401" s="2440"/>
      <c r="U401" s="2440"/>
      <c r="V401" s="2440"/>
      <c r="W401" s="2440"/>
      <c r="X401" s="2440"/>
      <c r="Y401" s="2440"/>
      <c r="Z401" s="2440"/>
      <c r="AA401" s="2440"/>
      <c r="AB401" s="2440"/>
      <c r="AC401" s="2440"/>
      <c r="AD401" s="2440"/>
      <c r="AE401" s="2440"/>
      <c r="AF401" s="2440"/>
      <c r="AL401" s="728"/>
      <c r="AN401" s="595"/>
      <c r="BS401" s="30"/>
      <c r="BT401" s="30"/>
      <c r="BU401" s="14"/>
      <c r="BV401" s="14"/>
      <c r="BW401" s="14"/>
      <c r="BX401" s="14"/>
      <c r="BY401" s="14"/>
      <c r="BZ401" s="14"/>
      <c r="CA401" s="14"/>
      <c r="CB401" s="14"/>
      <c r="CC401" s="14"/>
    </row>
    <row r="402" spans="1:81" s="549" customFormat="1" ht="12.75" customHeight="1">
      <c r="A402" s="536"/>
      <c r="B402" s="14"/>
      <c r="C402" s="2464" t="s">
        <v>589</v>
      </c>
      <c r="D402" s="2411"/>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5" t="s">
        <v>1451</v>
      </c>
      <c r="AG402" s="2465"/>
      <c r="AH402" s="2465"/>
      <c r="AI402" s="2465"/>
      <c r="AJ402" s="2465"/>
      <c r="AK402" s="2465"/>
      <c r="AL402" s="246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39" t="s">
        <v>1454</v>
      </c>
      <c r="G405" s="2439"/>
      <c r="H405" s="2439"/>
      <c r="I405" s="2439"/>
      <c r="J405" s="2439"/>
      <c r="K405" s="2439"/>
      <c r="L405" s="2439"/>
      <c r="M405" s="2439"/>
      <c r="N405" s="2439"/>
      <c r="O405" s="2439"/>
      <c r="P405" s="2439"/>
      <c r="Q405" s="2439"/>
      <c r="R405" s="2439"/>
      <c r="S405" s="2439"/>
      <c r="T405" s="2439"/>
      <c r="U405" s="2439"/>
      <c r="V405" s="2439"/>
      <c r="W405" s="2439"/>
      <c r="X405" s="2439"/>
      <c r="Y405" s="2439"/>
      <c r="Z405" s="2439"/>
      <c r="AA405" s="2439"/>
      <c r="AB405" s="2439"/>
      <c r="AC405" s="2439"/>
      <c r="AD405" s="2439"/>
      <c r="AE405" s="2439"/>
      <c r="AF405" s="2439"/>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0"/>
      <c r="G406" s="2440"/>
      <c r="H406" s="2440"/>
      <c r="I406" s="2440"/>
      <c r="J406" s="2440"/>
      <c r="K406" s="2440"/>
      <c r="L406" s="2440"/>
      <c r="M406" s="2440"/>
      <c r="N406" s="2440"/>
      <c r="O406" s="2440"/>
      <c r="P406" s="2440"/>
      <c r="Q406" s="2440"/>
      <c r="R406" s="2440"/>
      <c r="S406" s="2440"/>
      <c r="T406" s="2440"/>
      <c r="U406" s="2440"/>
      <c r="V406" s="2440"/>
      <c r="W406" s="2440"/>
      <c r="X406" s="2440"/>
      <c r="Y406" s="2440"/>
      <c r="Z406" s="2440"/>
      <c r="AA406" s="2440"/>
      <c r="AB406" s="2440"/>
      <c r="AC406" s="2440"/>
      <c r="AD406" s="2440"/>
      <c r="AE406" s="2440"/>
      <c r="AF406" s="244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0"/>
      <c r="G407" s="2440"/>
      <c r="H407" s="2440"/>
      <c r="I407" s="2440"/>
      <c r="J407" s="2440"/>
      <c r="K407" s="2440"/>
      <c r="L407" s="2440"/>
      <c r="M407" s="2440"/>
      <c r="N407" s="2440"/>
      <c r="O407" s="2440"/>
      <c r="P407" s="2440"/>
      <c r="Q407" s="2440"/>
      <c r="R407" s="2440"/>
      <c r="S407" s="2440"/>
      <c r="T407" s="2440"/>
      <c r="U407" s="2440"/>
      <c r="V407" s="2440"/>
      <c r="W407" s="2440"/>
      <c r="X407" s="2440"/>
      <c r="Y407" s="2440"/>
      <c r="Z407" s="2440"/>
      <c r="AA407" s="2440"/>
      <c r="AB407" s="2440"/>
      <c r="AC407" s="2440"/>
      <c r="AD407" s="2440"/>
      <c r="AE407" s="2440"/>
      <c r="AF407" s="244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0"/>
      <c r="G408" s="2440"/>
      <c r="H408" s="2440"/>
      <c r="I408" s="2440"/>
      <c r="J408" s="2440"/>
      <c r="K408" s="2440"/>
      <c r="L408" s="2440"/>
      <c r="M408" s="2440"/>
      <c r="N408" s="2440"/>
      <c r="O408" s="2440"/>
      <c r="P408" s="2440"/>
      <c r="Q408" s="2440"/>
      <c r="R408" s="2440"/>
      <c r="S408" s="2440"/>
      <c r="T408" s="2440"/>
      <c r="U408" s="2440"/>
      <c r="V408" s="2440"/>
      <c r="W408" s="2440"/>
      <c r="X408" s="2440"/>
      <c r="Y408" s="2440"/>
      <c r="Z408" s="2440"/>
      <c r="AA408" s="2440"/>
      <c r="AB408" s="2440"/>
      <c r="AC408" s="2440"/>
      <c r="AD408" s="2440"/>
      <c r="AE408" s="2440"/>
      <c r="AF408" s="244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0"/>
      <c r="G409" s="2440"/>
      <c r="H409" s="2440"/>
      <c r="I409" s="2440"/>
      <c r="J409" s="2440"/>
      <c r="K409" s="2440"/>
      <c r="L409" s="2440"/>
      <c r="M409" s="2440"/>
      <c r="N409" s="2440"/>
      <c r="O409" s="2440"/>
      <c r="P409" s="2440"/>
      <c r="Q409" s="2440"/>
      <c r="R409" s="2440"/>
      <c r="S409" s="2440"/>
      <c r="T409" s="2440"/>
      <c r="U409" s="2440"/>
      <c r="V409" s="2440"/>
      <c r="W409" s="2440"/>
      <c r="X409" s="2440"/>
      <c r="Y409" s="2440"/>
      <c r="Z409" s="2440"/>
      <c r="AA409" s="2440"/>
      <c r="AB409" s="2440"/>
      <c r="AC409" s="2440"/>
      <c r="AD409" s="2440"/>
      <c r="AE409" s="2440"/>
      <c r="AF409" s="244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4" t="s">
        <v>589</v>
      </c>
      <c r="D410" s="2411"/>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5" t="s">
        <v>1456</v>
      </c>
      <c r="AG410" s="2465"/>
      <c r="AH410" s="2465"/>
      <c r="AI410" s="2465"/>
      <c r="AJ410" s="2465"/>
      <c r="AK410" s="2465"/>
      <c r="AL410" s="246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4" t="s">
        <v>543</v>
      </c>
      <c r="D412" s="2411"/>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5" t="s">
        <v>1451</v>
      </c>
      <c r="AG412" s="2465"/>
      <c r="AH412" s="2465"/>
      <c r="AI412" s="2465"/>
      <c r="AJ412" s="2465"/>
      <c r="AK412" s="2465"/>
      <c r="AL412" s="246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39" t="s">
        <v>1460</v>
      </c>
      <c r="G416" s="2439"/>
      <c r="H416" s="2439"/>
      <c r="I416" s="2439"/>
      <c r="J416" s="2439"/>
      <c r="K416" s="2439"/>
      <c r="L416" s="2439"/>
      <c r="M416" s="2439"/>
      <c r="N416" s="2439"/>
      <c r="O416" s="2439"/>
      <c r="P416" s="2439"/>
      <c r="Q416" s="2439"/>
      <c r="R416" s="2439"/>
      <c r="S416" s="2439"/>
      <c r="T416" s="2439"/>
      <c r="U416" s="2439"/>
      <c r="V416" s="2439"/>
      <c r="W416" s="2439"/>
      <c r="X416" s="2439"/>
      <c r="Y416" s="2439"/>
      <c r="Z416" s="2439"/>
      <c r="AA416" s="2439"/>
      <c r="AB416" s="2439"/>
      <c r="AC416" s="2439"/>
      <c r="AD416" s="2439"/>
      <c r="AE416" s="2439"/>
      <c r="AF416" s="2439"/>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0"/>
      <c r="G417" s="2440"/>
      <c r="H417" s="2440"/>
      <c r="I417" s="2440"/>
      <c r="J417" s="2440"/>
      <c r="K417" s="2440"/>
      <c r="L417" s="2440"/>
      <c r="M417" s="2440"/>
      <c r="N417" s="2440"/>
      <c r="O417" s="2440"/>
      <c r="P417" s="2440"/>
      <c r="Q417" s="2440"/>
      <c r="R417" s="2440"/>
      <c r="S417" s="2440"/>
      <c r="T417" s="2440"/>
      <c r="U417" s="2440"/>
      <c r="V417" s="2440"/>
      <c r="W417" s="2440"/>
      <c r="X417" s="2440"/>
      <c r="Y417" s="2440"/>
      <c r="Z417" s="2440"/>
      <c r="AA417" s="2440"/>
      <c r="AB417" s="2440"/>
      <c r="AC417" s="2440"/>
      <c r="AD417" s="2440"/>
      <c r="AE417" s="2440"/>
      <c r="AF417" s="244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0"/>
      <c r="G418" s="2440"/>
      <c r="H418" s="2440"/>
      <c r="I418" s="2440"/>
      <c r="J418" s="2440"/>
      <c r="K418" s="2440"/>
      <c r="L418" s="2440"/>
      <c r="M418" s="2440"/>
      <c r="N418" s="2440"/>
      <c r="O418" s="2440"/>
      <c r="P418" s="2440"/>
      <c r="Q418" s="2440"/>
      <c r="R418" s="2440"/>
      <c r="S418" s="2440"/>
      <c r="T418" s="2440"/>
      <c r="U418" s="2440"/>
      <c r="V418" s="2440"/>
      <c r="W418" s="2440"/>
      <c r="X418" s="2440"/>
      <c r="Y418" s="2440"/>
      <c r="Z418" s="2440"/>
      <c r="AA418" s="2440"/>
      <c r="AB418" s="2440"/>
      <c r="AC418" s="2440"/>
      <c r="AD418" s="2440"/>
      <c r="AE418" s="2440"/>
      <c r="AF418" s="244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0"/>
      <c r="G419" s="2440"/>
      <c r="H419" s="2440"/>
      <c r="I419" s="2440"/>
      <c r="J419" s="2440"/>
      <c r="K419" s="2440"/>
      <c r="L419" s="2440"/>
      <c r="M419" s="2440"/>
      <c r="N419" s="2440"/>
      <c r="O419" s="2440"/>
      <c r="P419" s="2440"/>
      <c r="Q419" s="2440"/>
      <c r="R419" s="2440"/>
      <c r="S419" s="2440"/>
      <c r="T419" s="2440"/>
      <c r="U419" s="2440"/>
      <c r="V419" s="2440"/>
      <c r="W419" s="2440"/>
      <c r="X419" s="2440"/>
      <c r="Y419" s="2440"/>
      <c r="Z419" s="2440"/>
      <c r="AA419" s="2440"/>
      <c r="AB419" s="2440"/>
      <c r="AC419" s="2440"/>
      <c r="AD419" s="2440"/>
      <c r="AE419" s="2440"/>
      <c r="AF419" s="244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4" t="s">
        <v>589</v>
      </c>
      <c r="D420" s="2411"/>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5" t="s">
        <v>1451</v>
      </c>
      <c r="AG420" s="2465"/>
      <c r="AH420" s="2465"/>
      <c r="AI420" s="2465"/>
      <c r="AJ420" s="2465"/>
      <c r="AK420" s="2465"/>
      <c r="AL420" s="246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4" t="s">
        <v>589</v>
      </c>
      <c r="D422" s="2411"/>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5" t="s">
        <v>1463</v>
      </c>
      <c r="AG422" s="2465"/>
      <c r="AH422" s="2465"/>
      <c r="AI422" s="2465"/>
      <c r="AJ422" s="2465"/>
      <c r="AK422" s="2465"/>
      <c r="AL422" s="246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4" t="s">
        <v>589</v>
      </c>
      <c r="D425" s="2411"/>
      <c r="E425" s="711" t="s">
        <v>1464</v>
      </c>
      <c r="F425" s="2439" t="s">
        <v>1465</v>
      </c>
      <c r="G425" s="2439"/>
      <c r="H425" s="2439"/>
      <c r="I425" s="2439"/>
      <c r="J425" s="2439"/>
      <c r="K425" s="2439"/>
      <c r="L425" s="2439"/>
      <c r="M425" s="2439"/>
      <c r="N425" s="2439"/>
      <c r="O425" s="2439"/>
      <c r="P425" s="2439"/>
      <c r="Q425" s="2439"/>
      <c r="R425" s="2439"/>
      <c r="S425" s="2439"/>
      <c r="T425" s="2439"/>
      <c r="U425" s="2439"/>
      <c r="V425" s="2439"/>
      <c r="W425" s="2439"/>
      <c r="X425" s="2439"/>
      <c r="Y425" s="2439"/>
      <c r="Z425" s="2439"/>
      <c r="AA425" s="2439"/>
      <c r="AB425" s="2439"/>
      <c r="AC425" s="2439"/>
      <c r="AD425" s="2439"/>
      <c r="AE425" s="2439"/>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0"/>
      <c r="G426" s="2440"/>
      <c r="H426" s="2440"/>
      <c r="I426" s="2440"/>
      <c r="J426" s="2440"/>
      <c r="K426" s="2440"/>
      <c r="L426" s="2440"/>
      <c r="M426" s="2440"/>
      <c r="N426" s="2440"/>
      <c r="O426" s="2440"/>
      <c r="P426" s="2440"/>
      <c r="Q426" s="2440"/>
      <c r="R426" s="2440"/>
      <c r="S426" s="2440"/>
      <c r="T426" s="2440"/>
      <c r="U426" s="2440"/>
      <c r="V426" s="2440"/>
      <c r="W426" s="2440"/>
      <c r="X426" s="2440"/>
      <c r="Y426" s="2440"/>
      <c r="Z426" s="2440"/>
      <c r="AA426" s="2440"/>
      <c r="AB426" s="2440"/>
      <c r="AC426" s="2440"/>
      <c r="AD426" s="2440"/>
      <c r="AE426" s="2440"/>
      <c r="AF426" s="2390" t="s">
        <v>1451</v>
      </c>
      <c r="AG426" s="2390"/>
      <c r="AH426" s="2390"/>
      <c r="AI426" s="2390"/>
      <c r="AJ426" s="2390"/>
      <c r="AK426" s="2390"/>
      <c r="AL426" s="2471"/>
      <c r="AM426" s="568"/>
      <c r="AN426" s="595"/>
      <c r="BS426" s="568"/>
      <c r="BT426" s="568"/>
      <c r="BY426" s="568"/>
      <c r="BZ426" s="568"/>
      <c r="CA426" s="568"/>
      <c r="CB426" s="568"/>
      <c r="CC426" s="568"/>
    </row>
    <row r="427" spans="1:81" s="549" customFormat="1" ht="12.75" customHeight="1">
      <c r="A427" s="536"/>
      <c r="B427" s="14"/>
      <c r="C427" s="727"/>
      <c r="D427" s="14"/>
      <c r="E427" s="687"/>
      <c r="F427" s="2440"/>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1"/>
      <c r="G428" s="2441"/>
      <c r="H428" s="2441"/>
      <c r="I428" s="2441"/>
      <c r="J428" s="2441"/>
      <c r="K428" s="2441"/>
      <c r="L428" s="2441"/>
      <c r="M428" s="2441"/>
      <c r="N428" s="2441"/>
      <c r="O428" s="2441"/>
      <c r="P428" s="2441"/>
      <c r="Q428" s="2441"/>
      <c r="R428" s="2441"/>
      <c r="S428" s="2441"/>
      <c r="T428" s="2441"/>
      <c r="U428" s="2441"/>
      <c r="V428" s="2441"/>
      <c r="W428" s="2441"/>
      <c r="X428" s="2441"/>
      <c r="Y428" s="2441"/>
      <c r="Z428" s="2441"/>
      <c r="AA428" s="2441"/>
      <c r="AB428" s="2441"/>
      <c r="AC428" s="2441"/>
      <c r="AD428" s="2441"/>
      <c r="AE428" s="2441"/>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39" t="s">
        <v>1467</v>
      </c>
      <c r="G430" s="2439"/>
      <c r="H430" s="2439"/>
      <c r="I430" s="2439"/>
      <c r="J430" s="2439"/>
      <c r="K430" s="2439"/>
      <c r="L430" s="2439"/>
      <c r="M430" s="2439"/>
      <c r="N430" s="2439"/>
      <c r="O430" s="2439"/>
      <c r="P430" s="2439"/>
      <c r="Q430" s="2439"/>
      <c r="R430" s="2439"/>
      <c r="S430" s="2439"/>
      <c r="T430" s="2439"/>
      <c r="U430" s="2439"/>
      <c r="V430" s="2439"/>
      <c r="W430" s="2439"/>
      <c r="X430" s="2439"/>
      <c r="Y430" s="2439"/>
      <c r="Z430" s="2439"/>
      <c r="AA430" s="2439"/>
      <c r="AB430" s="2439"/>
      <c r="AC430" s="2439"/>
      <c r="AD430" s="2439"/>
      <c r="AE430" s="2439"/>
      <c r="AF430" s="743"/>
      <c r="AG430" s="743"/>
      <c r="AH430" s="743"/>
      <c r="AI430" s="743"/>
      <c r="AJ430" s="743"/>
      <c r="AK430" s="743"/>
      <c r="AL430" s="744"/>
      <c r="AM430" s="568"/>
    </row>
    <row r="431" spans="1:81">
      <c r="A431" s="536"/>
      <c r="C431" s="727"/>
      <c r="E431" s="687"/>
      <c r="F431" s="2440"/>
      <c r="G431" s="2440"/>
      <c r="H431" s="2440"/>
      <c r="I431" s="2440"/>
      <c r="J431" s="2440"/>
      <c r="K431" s="2440"/>
      <c r="L431" s="2440"/>
      <c r="M431" s="2440"/>
      <c r="N431" s="2440"/>
      <c r="O431" s="2440"/>
      <c r="P431" s="2440"/>
      <c r="Q431" s="2440"/>
      <c r="R431" s="2440"/>
      <c r="S431" s="2440"/>
      <c r="T431" s="2440"/>
      <c r="U431" s="2440"/>
      <c r="V431" s="2440"/>
      <c r="W431" s="2440"/>
      <c r="X431" s="2440"/>
      <c r="Y431" s="2440"/>
      <c r="Z431" s="2440"/>
      <c r="AA431" s="2440"/>
      <c r="AB431" s="2440"/>
      <c r="AC431" s="2440"/>
      <c r="AD431" s="2440"/>
      <c r="AE431" s="2440"/>
      <c r="AF431" s="539"/>
      <c r="AG431" s="536"/>
      <c r="AH431" s="549"/>
      <c r="AI431" s="549"/>
      <c r="AJ431" s="549"/>
      <c r="AK431" s="549"/>
      <c r="AL431" s="728"/>
      <c r="AM431" s="568"/>
    </row>
    <row r="432" spans="1:81" s="549" customFormat="1" ht="12.75" customHeight="1">
      <c r="A432" s="536"/>
      <c r="B432" s="14"/>
      <c r="C432" s="727"/>
      <c r="D432" s="14"/>
      <c r="E432" s="687"/>
      <c r="F432" s="2440"/>
      <c r="G432" s="2440"/>
      <c r="H432" s="2440"/>
      <c r="I432" s="2440"/>
      <c r="J432" s="2440"/>
      <c r="K432" s="2440"/>
      <c r="L432" s="2440"/>
      <c r="M432" s="2440"/>
      <c r="N432" s="2440"/>
      <c r="O432" s="2440"/>
      <c r="P432" s="2440"/>
      <c r="Q432" s="2440"/>
      <c r="R432" s="2440"/>
      <c r="S432" s="2440"/>
      <c r="T432" s="2440"/>
      <c r="U432" s="2440"/>
      <c r="V432" s="2440"/>
      <c r="W432" s="2440"/>
      <c r="X432" s="2440"/>
      <c r="Y432" s="2440"/>
      <c r="Z432" s="2440"/>
      <c r="AA432" s="2440"/>
      <c r="AB432" s="2440"/>
      <c r="AC432" s="2440"/>
      <c r="AD432" s="2440"/>
      <c r="AE432" s="2440"/>
      <c r="AL432" s="728"/>
      <c r="AM432" s="568"/>
      <c r="AN432" s="595"/>
    </row>
    <row r="433" spans="1:60" s="549" customFormat="1" ht="12.75" customHeight="1">
      <c r="A433" s="536"/>
      <c r="B433" s="14"/>
      <c r="C433" s="735"/>
      <c r="F433" s="2440"/>
      <c r="G433" s="2440"/>
      <c r="H433" s="2440"/>
      <c r="I433" s="2440"/>
      <c r="J433" s="2440"/>
      <c r="K433" s="2440"/>
      <c r="L433" s="2440"/>
      <c r="M433" s="2440"/>
      <c r="N433" s="2440"/>
      <c r="O433" s="2440"/>
      <c r="P433" s="2440"/>
      <c r="Q433" s="2440"/>
      <c r="R433" s="2440"/>
      <c r="S433" s="2440"/>
      <c r="T433" s="2440"/>
      <c r="U433" s="2440"/>
      <c r="V433" s="2440"/>
      <c r="W433" s="2440"/>
      <c r="X433" s="2440"/>
      <c r="Y433" s="2440"/>
      <c r="Z433" s="2440"/>
      <c r="AA433" s="2440"/>
      <c r="AB433" s="2440"/>
      <c r="AC433" s="2440"/>
      <c r="AD433" s="2440"/>
      <c r="AE433" s="2440"/>
      <c r="AL433" s="728"/>
      <c r="AM433" s="568"/>
      <c r="AN433" s="595"/>
    </row>
    <row r="434" spans="1:60" s="549" customFormat="1" ht="12.75" customHeight="1">
      <c r="A434" s="536"/>
      <c r="B434" s="14"/>
      <c r="C434" s="2464" t="s">
        <v>543</v>
      </c>
      <c r="D434" s="2411"/>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0" t="s">
        <v>1451</v>
      </c>
      <c r="AG434" s="2390"/>
      <c r="AH434" s="2390"/>
      <c r="AI434" s="2390"/>
      <c r="AJ434" s="2390"/>
      <c r="AK434" s="2390"/>
      <c r="AL434" s="2471"/>
      <c r="AM434" s="568"/>
      <c r="AN434" s="595"/>
    </row>
    <row r="435" spans="1:60" s="549" customFormat="1" ht="12.75" customHeight="1">
      <c r="A435" s="536"/>
      <c r="B435" s="14"/>
      <c r="C435" s="735"/>
      <c r="AL435" s="728"/>
      <c r="AM435" s="568"/>
      <c r="AN435" s="595"/>
    </row>
    <row r="436" spans="1:60" s="549" customFormat="1" ht="12.75" customHeight="1">
      <c r="A436" s="536"/>
      <c r="B436" s="14"/>
      <c r="C436" s="2464" t="s">
        <v>589</v>
      </c>
      <c r="D436" s="2411"/>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0" t="s">
        <v>1463</v>
      </c>
      <c r="AG436" s="2390"/>
      <c r="AH436" s="2390"/>
      <c r="AI436" s="2390"/>
      <c r="AJ436" s="2390"/>
      <c r="AK436" s="2390"/>
      <c r="AL436" s="247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39" t="s">
        <v>1471</v>
      </c>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710"/>
      <c r="AG440" s="710"/>
      <c r="AH440" s="710"/>
      <c r="AI440" s="710"/>
      <c r="AJ440" s="710"/>
      <c r="AK440" s="710"/>
      <c r="AL440" s="741"/>
      <c r="AM440" s="568"/>
      <c r="AN440" s="595"/>
    </row>
    <row r="441" spans="1:60" s="549" customFormat="1" ht="12.75" customHeight="1">
      <c r="A441" s="536"/>
      <c r="B441" s="14"/>
      <c r="C441" s="727"/>
      <c r="D441" s="14"/>
      <c r="E441" s="687"/>
      <c r="F441" s="2440"/>
      <c r="G441" s="2440"/>
      <c r="H441" s="2440"/>
      <c r="I441" s="2440"/>
      <c r="J441" s="2440"/>
      <c r="K441" s="2440"/>
      <c r="L441" s="2440"/>
      <c r="M441" s="2440"/>
      <c r="N441" s="2440"/>
      <c r="O441" s="2440"/>
      <c r="P441" s="2440"/>
      <c r="Q441" s="2440"/>
      <c r="R441" s="2440"/>
      <c r="S441" s="2440"/>
      <c r="T441" s="2440"/>
      <c r="U441" s="2440"/>
      <c r="V441" s="2440"/>
      <c r="W441" s="2440"/>
      <c r="X441" s="2440"/>
      <c r="Y441" s="2440"/>
      <c r="Z441" s="2440"/>
      <c r="AA441" s="2440"/>
      <c r="AB441" s="2440"/>
      <c r="AC441" s="2440"/>
      <c r="AD441" s="2440"/>
      <c r="AE441" s="2440"/>
      <c r="AF441" s="539"/>
      <c r="AG441" s="536"/>
      <c r="AL441" s="728"/>
      <c r="AM441" s="568"/>
      <c r="AN441" s="595"/>
    </row>
    <row r="442" spans="1:60" s="549" customFormat="1" ht="12.4" customHeight="1">
      <c r="A442" s="536"/>
      <c r="B442" s="14"/>
      <c r="C442" s="727"/>
      <c r="D442" s="14"/>
      <c r="E442" s="687"/>
      <c r="F442" s="2440"/>
      <c r="G442" s="2440"/>
      <c r="H442" s="2440"/>
      <c r="I442" s="2440"/>
      <c r="J442" s="2440"/>
      <c r="K442" s="2440"/>
      <c r="L442" s="2440"/>
      <c r="M442" s="2440"/>
      <c r="N442" s="2440"/>
      <c r="O442" s="2440"/>
      <c r="P442" s="2440"/>
      <c r="Q442" s="2440"/>
      <c r="R442" s="2440"/>
      <c r="S442" s="2440"/>
      <c r="T442" s="2440"/>
      <c r="U442" s="2440"/>
      <c r="V442" s="2440"/>
      <c r="W442" s="2440"/>
      <c r="X442" s="2440"/>
      <c r="Y442" s="2440"/>
      <c r="Z442" s="2440"/>
      <c r="AA442" s="2440"/>
      <c r="AB442" s="2440"/>
      <c r="AC442" s="2440"/>
      <c r="AD442" s="2440"/>
      <c r="AE442" s="2440"/>
      <c r="AL442" s="728"/>
      <c r="AM442" s="568"/>
      <c r="AN442" s="595"/>
    </row>
    <row r="443" spans="1:60" s="549" customFormat="1" ht="12.75" customHeight="1">
      <c r="A443" s="536"/>
      <c r="B443" s="14"/>
      <c r="C443" s="2464" t="s">
        <v>589</v>
      </c>
      <c r="D443" s="2411"/>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0" t="s">
        <v>1451</v>
      </c>
      <c r="AG443" s="2390"/>
      <c r="AH443" s="2390"/>
      <c r="AI443" s="2390"/>
      <c r="AJ443" s="2390"/>
      <c r="AK443" s="2390"/>
      <c r="AL443" s="247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439" t="s">
        <v>1474</v>
      </c>
      <c r="G446" s="2439"/>
      <c r="H446" s="2439"/>
      <c r="I446" s="2439"/>
      <c r="J446" s="2439"/>
      <c r="K446" s="2439"/>
      <c r="L446" s="2439"/>
      <c r="M446" s="2439"/>
      <c r="N446" s="2439"/>
      <c r="O446" s="2439"/>
      <c r="P446" s="2439"/>
      <c r="Q446" s="2439"/>
      <c r="R446" s="2439"/>
      <c r="S446" s="2439"/>
      <c r="T446" s="2439"/>
      <c r="U446" s="2439"/>
      <c r="V446" s="2439"/>
      <c r="W446" s="2439"/>
      <c r="X446" s="2439"/>
      <c r="Y446" s="2439"/>
      <c r="Z446" s="2439"/>
      <c r="AA446" s="2439"/>
      <c r="AB446" s="2439"/>
      <c r="AC446" s="2439"/>
      <c r="AD446" s="2439"/>
      <c r="AE446" s="2439"/>
      <c r="AF446" s="743"/>
      <c r="AG446" s="743"/>
      <c r="AH446" s="743"/>
      <c r="AI446" s="743"/>
      <c r="AJ446" s="743"/>
      <c r="AK446" s="743"/>
      <c r="AL446" s="744"/>
      <c r="AM446" s="568"/>
      <c r="AO446" s="549"/>
      <c r="AP446" s="549"/>
      <c r="BD446" s="14"/>
      <c r="BE446" s="14"/>
      <c r="BF446" s="14"/>
      <c r="BG446" s="14"/>
      <c r="BH446" s="14"/>
    </row>
    <row r="447" spans="1:60">
      <c r="A447" s="536"/>
      <c r="C447" s="727"/>
      <c r="E447" s="687"/>
      <c r="F447" s="2440"/>
      <c r="G447" s="2440"/>
      <c r="H447" s="2440"/>
      <c r="I447" s="2440"/>
      <c r="J447" s="2440"/>
      <c r="K447" s="2440"/>
      <c r="L447" s="2440"/>
      <c r="M447" s="2440"/>
      <c r="N447" s="2440"/>
      <c r="O447" s="2440"/>
      <c r="P447" s="2440"/>
      <c r="Q447" s="2440"/>
      <c r="R447" s="2440"/>
      <c r="S447" s="2440"/>
      <c r="T447" s="2440"/>
      <c r="U447" s="2440"/>
      <c r="V447" s="2440"/>
      <c r="W447" s="2440"/>
      <c r="X447" s="2440"/>
      <c r="Y447" s="2440"/>
      <c r="Z447" s="2440"/>
      <c r="AA447" s="2440"/>
      <c r="AB447" s="2440"/>
      <c r="AC447" s="2440"/>
      <c r="AD447" s="2440"/>
      <c r="AE447" s="2440"/>
      <c r="AF447" s="592"/>
      <c r="AG447" s="592"/>
      <c r="AH447" s="592"/>
      <c r="AI447" s="592"/>
      <c r="AJ447" s="592"/>
      <c r="AK447" s="592"/>
      <c r="AL447" s="746"/>
      <c r="AM447" s="568"/>
      <c r="AO447" s="549"/>
      <c r="AP447" s="549"/>
    </row>
    <row r="448" spans="1:60" s="549" customFormat="1" ht="12.75" customHeight="1">
      <c r="A448" s="536"/>
      <c r="B448" s="14"/>
      <c r="C448" s="727"/>
      <c r="D448" s="14"/>
      <c r="E448" s="687"/>
      <c r="F448" s="2440"/>
      <c r="G448" s="2440"/>
      <c r="H448" s="2440"/>
      <c r="I448" s="2440"/>
      <c r="J448" s="2440"/>
      <c r="K448" s="2440"/>
      <c r="L448" s="2440"/>
      <c r="M448" s="2440"/>
      <c r="N448" s="2440"/>
      <c r="O448" s="2440"/>
      <c r="P448" s="2440"/>
      <c r="Q448" s="2440"/>
      <c r="R448" s="2440"/>
      <c r="S448" s="2440"/>
      <c r="T448" s="2440"/>
      <c r="U448" s="2440"/>
      <c r="V448" s="2440"/>
      <c r="W448" s="2440"/>
      <c r="X448" s="2440"/>
      <c r="Y448" s="2440"/>
      <c r="Z448" s="2440"/>
      <c r="AA448" s="2440"/>
      <c r="AB448" s="2440"/>
      <c r="AC448" s="2440"/>
      <c r="AD448" s="2440"/>
      <c r="AE448" s="2440"/>
      <c r="AF448" s="592"/>
      <c r="AG448" s="592"/>
      <c r="AH448" s="592"/>
      <c r="AI448" s="592"/>
      <c r="AJ448" s="592"/>
      <c r="AK448" s="592"/>
      <c r="AL448" s="746"/>
      <c r="AM448" s="568"/>
      <c r="AN448" s="595"/>
    </row>
    <row r="449" spans="1:42" s="549" customFormat="1" ht="12.75" customHeight="1">
      <c r="A449" s="536"/>
      <c r="B449" s="14"/>
      <c r="C449" s="747"/>
      <c r="D449" s="726"/>
      <c r="E449" s="715"/>
      <c r="F449" s="2440"/>
      <c r="G449" s="2440"/>
      <c r="H449" s="2440"/>
      <c r="I449" s="2440"/>
      <c r="J449" s="2440"/>
      <c r="K449" s="2440"/>
      <c r="L449" s="2440"/>
      <c r="M449" s="2440"/>
      <c r="N449" s="2440"/>
      <c r="O449" s="2440"/>
      <c r="P449" s="2440"/>
      <c r="Q449" s="2440"/>
      <c r="R449" s="2440"/>
      <c r="S449" s="2440"/>
      <c r="T449" s="2440"/>
      <c r="U449" s="2440"/>
      <c r="V449" s="2440"/>
      <c r="W449" s="2440"/>
      <c r="X449" s="2440"/>
      <c r="Y449" s="2440"/>
      <c r="Z449" s="2440"/>
      <c r="AA449" s="2440"/>
      <c r="AB449" s="2440"/>
      <c r="AC449" s="2440"/>
      <c r="AD449" s="2440"/>
      <c r="AE449" s="244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0"/>
      <c r="G450" s="2440"/>
      <c r="H450" s="2440"/>
      <c r="I450" s="2440"/>
      <c r="J450" s="2440"/>
      <c r="K450" s="2440"/>
      <c r="L450" s="2440"/>
      <c r="M450" s="2440"/>
      <c r="N450" s="2440"/>
      <c r="O450" s="2440"/>
      <c r="P450" s="2440"/>
      <c r="Q450" s="2440"/>
      <c r="R450" s="2440"/>
      <c r="S450" s="2440"/>
      <c r="T450" s="2440"/>
      <c r="U450" s="2440"/>
      <c r="V450" s="2440"/>
      <c r="W450" s="2440"/>
      <c r="X450" s="2440"/>
      <c r="Y450" s="2440"/>
      <c r="Z450" s="2440"/>
      <c r="AA450" s="2440"/>
      <c r="AB450" s="2440"/>
      <c r="AC450" s="2440"/>
      <c r="AD450" s="2440"/>
      <c r="AE450" s="2440"/>
      <c r="AF450" s="592"/>
      <c r="AG450" s="592"/>
      <c r="AH450" s="592"/>
      <c r="AI450" s="592"/>
      <c r="AJ450" s="592"/>
      <c r="AK450" s="592"/>
      <c r="AL450" s="746"/>
      <c r="AM450" s="568"/>
      <c r="AN450" s="595"/>
    </row>
    <row r="451" spans="1:42" s="549" customFormat="1" ht="12.75" customHeight="1">
      <c r="A451" s="536"/>
      <c r="B451" s="14"/>
      <c r="C451" s="747"/>
      <c r="D451" s="726"/>
      <c r="E451" s="715"/>
      <c r="F451" s="2440"/>
      <c r="G451" s="2440"/>
      <c r="H451" s="2440"/>
      <c r="I451" s="2440"/>
      <c r="J451" s="2440"/>
      <c r="K451" s="2440"/>
      <c r="L451" s="2440"/>
      <c r="M451" s="2440"/>
      <c r="N451" s="2440"/>
      <c r="O451" s="2440"/>
      <c r="P451" s="2440"/>
      <c r="Q451" s="2440"/>
      <c r="R451" s="2440"/>
      <c r="S451" s="2440"/>
      <c r="T451" s="2440"/>
      <c r="U451" s="2440"/>
      <c r="V451" s="2440"/>
      <c r="W451" s="2440"/>
      <c r="X451" s="2440"/>
      <c r="Y451" s="2440"/>
      <c r="Z451" s="2440"/>
      <c r="AA451" s="2440"/>
      <c r="AB451" s="2440"/>
      <c r="AC451" s="2440"/>
      <c r="AD451" s="2440"/>
      <c r="AE451" s="2440"/>
      <c r="AF451" s="592"/>
      <c r="AG451" s="592"/>
      <c r="AH451" s="592"/>
      <c r="AI451" s="592"/>
      <c r="AJ451" s="592"/>
      <c r="AK451" s="592"/>
      <c r="AL451" s="746"/>
      <c r="AM451" s="568"/>
      <c r="AN451" s="595"/>
    </row>
    <row r="452" spans="1:42" s="549" customFormat="1" ht="12.75" customHeight="1">
      <c r="A452" s="536"/>
      <c r="B452" s="14"/>
      <c r="C452" s="747"/>
      <c r="D452" s="726"/>
      <c r="E452" s="715"/>
      <c r="F452" s="2440"/>
      <c r="G452" s="2440"/>
      <c r="H452" s="2440"/>
      <c r="I452" s="2440"/>
      <c r="J452" s="2440"/>
      <c r="K452" s="2440"/>
      <c r="L452" s="2440"/>
      <c r="M452" s="2440"/>
      <c r="N452" s="2440"/>
      <c r="O452" s="2440"/>
      <c r="P452" s="2440"/>
      <c r="Q452" s="2440"/>
      <c r="R452" s="2440"/>
      <c r="S452" s="2440"/>
      <c r="T452" s="2440"/>
      <c r="U452" s="2440"/>
      <c r="V452" s="2440"/>
      <c r="W452" s="2440"/>
      <c r="X452" s="2440"/>
      <c r="Y452" s="2440"/>
      <c r="Z452" s="2440"/>
      <c r="AA452" s="2440"/>
      <c r="AB452" s="2440"/>
      <c r="AC452" s="2440"/>
      <c r="AD452" s="2440"/>
      <c r="AE452" s="2440"/>
      <c r="AF452" s="592"/>
      <c r="AG452" s="592"/>
      <c r="AH452" s="592"/>
      <c r="AI452" s="592"/>
      <c r="AJ452" s="592"/>
      <c r="AK452" s="592"/>
      <c r="AL452" s="746"/>
      <c r="AM452" s="568"/>
      <c r="AN452" s="595"/>
    </row>
    <row r="453" spans="1:42" s="549" customFormat="1" ht="12.75" customHeight="1">
      <c r="A453" s="536"/>
      <c r="B453" s="14"/>
      <c r="C453" s="747"/>
      <c r="D453" s="726"/>
      <c r="E453" s="715"/>
      <c r="F453" s="2440"/>
      <c r="G453" s="2440"/>
      <c r="H453" s="2440"/>
      <c r="I453" s="2440"/>
      <c r="J453" s="2440"/>
      <c r="K453" s="2440"/>
      <c r="L453" s="2440"/>
      <c r="M453" s="2440"/>
      <c r="N453" s="2440"/>
      <c r="O453" s="2440"/>
      <c r="P453" s="2440"/>
      <c r="Q453" s="2440"/>
      <c r="R453" s="2440"/>
      <c r="S453" s="2440"/>
      <c r="T453" s="2440"/>
      <c r="U453" s="2440"/>
      <c r="V453" s="2440"/>
      <c r="W453" s="2440"/>
      <c r="X453" s="2440"/>
      <c r="Y453" s="2440"/>
      <c r="Z453" s="2440"/>
      <c r="AA453" s="2440"/>
      <c r="AB453" s="2440"/>
      <c r="AC453" s="2440"/>
      <c r="AD453" s="2440"/>
      <c r="AE453" s="2440"/>
      <c r="AF453" s="592"/>
      <c r="AG453" s="592"/>
      <c r="AH453" s="592"/>
      <c r="AI453" s="592"/>
      <c r="AJ453" s="592"/>
      <c r="AK453" s="592"/>
      <c r="AL453" s="746"/>
      <c r="AM453" s="568"/>
      <c r="AN453" s="595"/>
    </row>
    <row r="454" spans="1:42" s="549" customFormat="1" ht="17.25" customHeight="1">
      <c r="A454" s="536"/>
      <c r="B454" s="14"/>
      <c r="C454" s="747"/>
      <c r="D454" s="726"/>
      <c r="E454" s="715"/>
      <c r="F454" s="2440"/>
      <c r="G454" s="2440"/>
      <c r="H454" s="2440"/>
      <c r="I454" s="2440"/>
      <c r="J454" s="2440"/>
      <c r="K454" s="2440"/>
      <c r="L454" s="2440"/>
      <c r="M454" s="2440"/>
      <c r="N454" s="2440"/>
      <c r="O454" s="2440"/>
      <c r="P454" s="2440"/>
      <c r="Q454" s="2440"/>
      <c r="R454" s="2440"/>
      <c r="S454" s="2440"/>
      <c r="T454" s="2440"/>
      <c r="U454" s="2440"/>
      <c r="V454" s="2440"/>
      <c r="W454" s="2440"/>
      <c r="X454" s="2440"/>
      <c r="Y454" s="2440"/>
      <c r="Z454" s="2440"/>
      <c r="AA454" s="2440"/>
      <c r="AB454" s="2440"/>
      <c r="AC454" s="2440"/>
      <c r="AD454" s="2440"/>
      <c r="AE454" s="2440"/>
      <c r="AL454" s="728"/>
      <c r="AM454" s="568"/>
      <c r="AN454" s="595"/>
    </row>
    <row r="455" spans="1:42" s="549" customFormat="1" ht="12.75" customHeight="1">
      <c r="A455" s="536"/>
      <c r="B455" s="14"/>
      <c r="C455" s="2464" t="s">
        <v>589</v>
      </c>
      <c r="D455" s="2411"/>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0" t="s">
        <v>1451</v>
      </c>
      <c r="AG455" s="2390"/>
      <c r="AH455" s="2390"/>
      <c r="AI455" s="2390"/>
      <c r="AJ455" s="2390"/>
      <c r="AK455" s="2390"/>
      <c r="AL455" s="247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39" t="s">
        <v>1477</v>
      </c>
      <c r="G458" s="2439"/>
      <c r="H458" s="2439"/>
      <c r="I458" s="2439"/>
      <c r="J458" s="2439"/>
      <c r="K458" s="2439"/>
      <c r="L458" s="2439"/>
      <c r="M458" s="2439"/>
      <c r="N458" s="2439"/>
      <c r="O458" s="2439"/>
      <c r="P458" s="2439"/>
      <c r="Q458" s="2439"/>
      <c r="R458" s="2439"/>
      <c r="S458" s="2439"/>
      <c r="T458" s="2439"/>
      <c r="U458" s="2439"/>
      <c r="V458" s="2439"/>
      <c r="W458" s="2439"/>
      <c r="X458" s="2439"/>
      <c r="Y458" s="2439"/>
      <c r="Z458" s="2439"/>
      <c r="AA458" s="2439"/>
      <c r="AB458" s="2439"/>
      <c r="AC458" s="2439"/>
      <c r="AD458" s="2439"/>
      <c r="AE458" s="2439"/>
      <c r="AF458" s="710"/>
      <c r="AG458" s="710"/>
      <c r="AH458" s="710"/>
      <c r="AI458" s="710"/>
      <c r="AJ458" s="710"/>
      <c r="AK458" s="710"/>
      <c r="AL458" s="741"/>
      <c r="AM458" s="568"/>
      <c r="AN458" s="595"/>
    </row>
    <row r="459" spans="1:42" s="549" customFormat="1" ht="12.75" customHeight="1">
      <c r="A459" s="536"/>
      <c r="B459" s="14"/>
      <c r="C459" s="747"/>
      <c r="D459" s="726"/>
      <c r="E459" s="715"/>
      <c r="F459" s="2440"/>
      <c r="G459" s="2440"/>
      <c r="H459" s="2440"/>
      <c r="I459" s="2440"/>
      <c r="J459" s="2440"/>
      <c r="K459" s="2440"/>
      <c r="L459" s="2440"/>
      <c r="M459" s="2440"/>
      <c r="N459" s="2440"/>
      <c r="O459" s="2440"/>
      <c r="P459" s="2440"/>
      <c r="Q459" s="2440"/>
      <c r="R459" s="2440"/>
      <c r="S459" s="2440"/>
      <c r="T459" s="2440"/>
      <c r="U459" s="2440"/>
      <c r="V459" s="2440"/>
      <c r="W459" s="2440"/>
      <c r="X459" s="2440"/>
      <c r="Y459" s="2440"/>
      <c r="Z459" s="2440"/>
      <c r="AA459" s="2440"/>
      <c r="AB459" s="2440"/>
      <c r="AC459" s="2440"/>
      <c r="AD459" s="2440"/>
      <c r="AE459" s="2440"/>
      <c r="AF459" s="589"/>
      <c r="AG459" s="589"/>
      <c r="AH459" s="589"/>
      <c r="AI459" s="589"/>
      <c r="AJ459" s="589"/>
      <c r="AK459" s="589"/>
      <c r="AL459" s="716"/>
      <c r="AM459" s="568"/>
      <c r="AN459" s="595"/>
    </row>
    <row r="460" spans="1:42" s="549" customFormat="1" ht="12.75" customHeight="1">
      <c r="A460" s="536"/>
      <c r="B460" s="14"/>
      <c r="C460" s="747"/>
      <c r="D460" s="726"/>
      <c r="E460" s="715"/>
      <c r="F460" s="2440"/>
      <c r="G460" s="2440"/>
      <c r="H460" s="2440"/>
      <c r="I460" s="2440"/>
      <c r="J460" s="2440"/>
      <c r="K460" s="2440"/>
      <c r="L460" s="2440"/>
      <c r="M460" s="2440"/>
      <c r="N460" s="2440"/>
      <c r="O460" s="2440"/>
      <c r="P460" s="2440"/>
      <c r="Q460" s="2440"/>
      <c r="R460" s="2440"/>
      <c r="S460" s="2440"/>
      <c r="T460" s="2440"/>
      <c r="U460" s="2440"/>
      <c r="V460" s="2440"/>
      <c r="W460" s="2440"/>
      <c r="X460" s="2440"/>
      <c r="Y460" s="2440"/>
      <c r="Z460" s="2440"/>
      <c r="AA460" s="2440"/>
      <c r="AB460" s="2440"/>
      <c r="AC460" s="2440"/>
      <c r="AD460" s="2440"/>
      <c r="AE460" s="2440"/>
      <c r="AF460" s="589"/>
      <c r="AG460" s="589"/>
      <c r="AH460" s="589"/>
      <c r="AI460" s="589"/>
      <c r="AJ460" s="589"/>
      <c r="AK460" s="589"/>
      <c r="AL460" s="716"/>
      <c r="AM460" s="568"/>
      <c r="AN460" s="595"/>
    </row>
    <row r="461" spans="1:42" s="549" customFormat="1" ht="12.75" customHeight="1">
      <c r="A461" s="536"/>
      <c r="B461" s="14"/>
      <c r="C461" s="747"/>
      <c r="D461" s="726"/>
      <c r="E461" s="715"/>
      <c r="F461" s="2440"/>
      <c r="G461" s="2440"/>
      <c r="H461" s="2440"/>
      <c r="I461" s="2440"/>
      <c r="J461" s="2440"/>
      <c r="K461" s="2440"/>
      <c r="L461" s="2440"/>
      <c r="M461" s="2440"/>
      <c r="N461" s="2440"/>
      <c r="O461" s="2440"/>
      <c r="P461" s="2440"/>
      <c r="Q461" s="2440"/>
      <c r="R461" s="2440"/>
      <c r="S461" s="2440"/>
      <c r="T461" s="2440"/>
      <c r="U461" s="2440"/>
      <c r="V461" s="2440"/>
      <c r="W461" s="2440"/>
      <c r="X461" s="2440"/>
      <c r="Y461" s="2440"/>
      <c r="Z461" s="2440"/>
      <c r="AA461" s="2440"/>
      <c r="AB461" s="2440"/>
      <c r="AC461" s="2440"/>
      <c r="AD461" s="2440"/>
      <c r="AE461" s="2440"/>
      <c r="AL461" s="728"/>
      <c r="AM461" s="568"/>
      <c r="AN461" s="595"/>
    </row>
    <row r="462" spans="1:42" s="549" customFormat="1" ht="12.75" customHeight="1">
      <c r="A462" s="536"/>
      <c r="B462" s="14"/>
      <c r="C462" s="2464" t="s">
        <v>589</v>
      </c>
      <c r="D462" s="2411"/>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0" t="s">
        <v>1451</v>
      </c>
      <c r="AG462" s="2390"/>
      <c r="AH462" s="2390"/>
      <c r="AI462" s="2390"/>
      <c r="AJ462" s="2390"/>
      <c r="AK462" s="2390"/>
      <c r="AL462" s="247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9" t="s">
        <v>589</v>
      </c>
      <c r="D466" s="2550"/>
      <c r="E466" s="711" t="s">
        <v>1486</v>
      </c>
      <c r="F466" s="2439" t="s">
        <v>1487</v>
      </c>
      <c r="G466" s="2439"/>
      <c r="H466" s="2439"/>
      <c r="I466" s="2439"/>
      <c r="J466" s="2439"/>
      <c r="K466" s="2439"/>
      <c r="L466" s="2439"/>
      <c r="M466" s="2439"/>
      <c r="N466" s="2439"/>
      <c r="O466" s="2439"/>
      <c r="P466" s="2439"/>
      <c r="Q466" s="2439"/>
      <c r="R466" s="2439"/>
      <c r="S466" s="2439"/>
      <c r="T466" s="2439"/>
      <c r="U466" s="2439"/>
      <c r="V466" s="2439"/>
      <c r="W466" s="2439"/>
      <c r="X466" s="2439"/>
      <c r="Y466" s="2439"/>
      <c r="Z466" s="2439"/>
      <c r="AA466" s="2439"/>
      <c r="AB466" s="2439"/>
      <c r="AC466" s="2439"/>
      <c r="AD466" s="2439"/>
      <c r="AE466" s="2439"/>
      <c r="AF466" s="2467" t="s">
        <v>1451</v>
      </c>
      <c r="AG466" s="2467"/>
      <c r="AH466" s="2467"/>
      <c r="AI466" s="2467"/>
      <c r="AJ466" s="2467"/>
      <c r="AK466" s="2467"/>
      <c r="AL466" s="2468"/>
      <c r="AM466" s="568"/>
      <c r="AN466" s="749"/>
    </row>
    <row r="467" spans="1:40" s="549" customFormat="1" ht="12.75" customHeight="1">
      <c r="A467" s="536"/>
      <c r="B467" s="14"/>
      <c r="C467" s="747"/>
      <c r="D467" s="726"/>
      <c r="E467" s="715"/>
      <c r="F467" s="2440"/>
      <c r="G467" s="2440"/>
      <c r="H467" s="2440"/>
      <c r="I467" s="2440"/>
      <c r="J467" s="2440"/>
      <c r="K467" s="2440"/>
      <c r="L467" s="2440"/>
      <c r="M467" s="2440"/>
      <c r="N467" s="2440"/>
      <c r="O467" s="2440"/>
      <c r="P467" s="2440"/>
      <c r="Q467" s="2440"/>
      <c r="R467" s="2440"/>
      <c r="S467" s="2440"/>
      <c r="T467" s="2440"/>
      <c r="U467" s="2440"/>
      <c r="V467" s="2440"/>
      <c r="W467" s="2440"/>
      <c r="X467" s="2440"/>
      <c r="Y467" s="2440"/>
      <c r="Z467" s="2440"/>
      <c r="AA467" s="2440"/>
      <c r="AB467" s="2440"/>
      <c r="AC467" s="2440"/>
      <c r="AD467" s="2440"/>
      <c r="AE467" s="2440"/>
      <c r="AF467" s="589"/>
      <c r="AG467" s="589"/>
      <c r="AH467" s="589"/>
      <c r="AI467" s="589"/>
      <c r="AJ467" s="589"/>
      <c r="AK467" s="589"/>
      <c r="AL467" s="716"/>
      <c r="AM467" s="568"/>
      <c r="AN467" s="750"/>
    </row>
    <row r="468" spans="1:40" s="549" customFormat="1" ht="17.649999999999999" customHeight="1">
      <c r="A468" s="536"/>
      <c r="B468" s="14"/>
      <c r="C468" s="752"/>
      <c r="D468" s="719"/>
      <c r="E468" s="720"/>
      <c r="F468" s="2441"/>
      <c r="G468" s="2441"/>
      <c r="H468" s="2441"/>
      <c r="I468" s="2441"/>
      <c r="J468" s="2441"/>
      <c r="K468" s="2441"/>
      <c r="L468" s="2441"/>
      <c r="M468" s="2441"/>
      <c r="N468" s="2441"/>
      <c r="O468" s="2441"/>
      <c r="P468" s="2441"/>
      <c r="Q468" s="2441"/>
      <c r="R468" s="2441"/>
      <c r="S468" s="2441"/>
      <c r="T468" s="2441"/>
      <c r="U468" s="2441"/>
      <c r="V468" s="2441"/>
      <c r="W468" s="2441"/>
      <c r="X468" s="2441"/>
      <c r="Y468" s="2441"/>
      <c r="Z468" s="2441"/>
      <c r="AA468" s="2441"/>
      <c r="AB468" s="2441"/>
      <c r="AC468" s="2441"/>
      <c r="AD468" s="2441"/>
      <c r="AE468" s="244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4" t="s">
        <v>589</v>
      </c>
      <c r="D470" s="2411"/>
      <c r="E470" s="711" t="s">
        <v>1492</v>
      </c>
      <c r="F470" s="2439" t="s">
        <v>1493</v>
      </c>
      <c r="G470" s="2439"/>
      <c r="H470" s="2439"/>
      <c r="I470" s="2439"/>
      <c r="J470" s="2439"/>
      <c r="K470" s="2439"/>
      <c r="L470" s="2439"/>
      <c r="M470" s="2439"/>
      <c r="N470" s="2439"/>
      <c r="O470" s="2439"/>
      <c r="P470" s="2439"/>
      <c r="Q470" s="2439"/>
      <c r="R470" s="2439"/>
      <c r="S470" s="2439"/>
      <c r="T470" s="2439"/>
      <c r="U470" s="2439"/>
      <c r="V470" s="2439"/>
      <c r="W470" s="2439"/>
      <c r="X470" s="2439"/>
      <c r="Y470" s="2439"/>
      <c r="Z470" s="2439"/>
      <c r="AA470" s="2439"/>
      <c r="AB470" s="2439"/>
      <c r="AC470" s="2439"/>
      <c r="AD470" s="2439"/>
      <c r="AE470" s="2439"/>
      <c r="AF470" s="2467" t="s">
        <v>1451</v>
      </c>
      <c r="AG470" s="2467"/>
      <c r="AH470" s="2467"/>
      <c r="AI470" s="2467"/>
      <c r="AJ470" s="2467"/>
      <c r="AK470" s="2467"/>
      <c r="AL470" s="2468"/>
      <c r="AM470" s="568"/>
      <c r="AN470" s="535"/>
    </row>
    <row r="471" spans="1:40" s="549" customFormat="1" ht="12.75" customHeight="1">
      <c r="A471" s="536"/>
      <c r="B471" s="14"/>
      <c r="C471" s="727"/>
      <c r="D471" s="14"/>
      <c r="E471" s="687"/>
      <c r="F471" s="2440"/>
      <c r="G471" s="2440"/>
      <c r="H471" s="2440"/>
      <c r="I471" s="2440"/>
      <c r="J471" s="2440"/>
      <c r="K471" s="2440"/>
      <c r="L471" s="2440"/>
      <c r="M471" s="2440"/>
      <c r="N471" s="2440"/>
      <c r="O471" s="2440"/>
      <c r="P471" s="2440"/>
      <c r="Q471" s="2440"/>
      <c r="R471" s="2440"/>
      <c r="S471" s="2440"/>
      <c r="T471" s="2440"/>
      <c r="U471" s="2440"/>
      <c r="V471" s="2440"/>
      <c r="W471" s="2440"/>
      <c r="X471" s="2440"/>
      <c r="Y471" s="2440"/>
      <c r="Z471" s="2440"/>
      <c r="AA471" s="2440"/>
      <c r="AB471" s="2440"/>
      <c r="AC471" s="2440"/>
      <c r="AD471" s="2440"/>
      <c r="AE471" s="2440"/>
      <c r="AF471" s="539"/>
      <c r="AG471" s="536"/>
      <c r="AL471" s="728"/>
      <c r="AM471" s="568"/>
      <c r="AN471" s="535"/>
    </row>
    <row r="472" spans="1:40" s="549" customFormat="1" ht="12.75" customHeight="1">
      <c r="A472" s="536"/>
      <c r="B472" s="14"/>
      <c r="C472" s="727"/>
      <c r="D472" s="14"/>
      <c r="E472" s="687"/>
      <c r="F472" s="2440"/>
      <c r="G472" s="2440"/>
      <c r="H472" s="2440"/>
      <c r="I472" s="2440"/>
      <c r="J472" s="2440"/>
      <c r="K472" s="2440"/>
      <c r="L472" s="2440"/>
      <c r="M472" s="2440"/>
      <c r="N472" s="2440"/>
      <c r="O472" s="2440"/>
      <c r="P472" s="2440"/>
      <c r="Q472" s="2440"/>
      <c r="R472" s="2440"/>
      <c r="S472" s="2440"/>
      <c r="T472" s="2440"/>
      <c r="U472" s="2440"/>
      <c r="V472" s="2440"/>
      <c r="W472" s="2440"/>
      <c r="X472" s="2440"/>
      <c r="Y472" s="2440"/>
      <c r="Z472" s="2440"/>
      <c r="AA472" s="2440"/>
      <c r="AB472" s="2440"/>
      <c r="AC472" s="2440"/>
      <c r="AD472" s="2440"/>
      <c r="AE472" s="2440"/>
      <c r="AF472" s="539"/>
      <c r="AG472" s="536"/>
      <c r="AL472" s="728"/>
      <c r="AM472" s="568"/>
      <c r="AN472" s="535"/>
    </row>
    <row r="473" spans="1:40" s="549" customFormat="1" ht="12.75" customHeight="1">
      <c r="A473" s="536"/>
      <c r="B473" s="14"/>
      <c r="C473" s="752"/>
      <c r="D473" s="719"/>
      <c r="E473" s="720"/>
      <c r="F473" s="2441"/>
      <c r="G473" s="2441"/>
      <c r="H473" s="2441"/>
      <c r="I473" s="2441"/>
      <c r="J473" s="2441"/>
      <c r="K473" s="2441"/>
      <c r="L473" s="2441"/>
      <c r="M473" s="2441"/>
      <c r="N473" s="2441"/>
      <c r="O473" s="2441"/>
      <c r="P473" s="2441"/>
      <c r="Q473" s="2441"/>
      <c r="R473" s="2441"/>
      <c r="S473" s="2441"/>
      <c r="T473" s="2441"/>
      <c r="U473" s="2441"/>
      <c r="V473" s="2441"/>
      <c r="W473" s="2441"/>
      <c r="X473" s="2441"/>
      <c r="Y473" s="2441"/>
      <c r="Z473" s="2441"/>
      <c r="AA473" s="2441"/>
      <c r="AB473" s="2441"/>
      <c r="AC473" s="2441"/>
      <c r="AD473" s="2441"/>
      <c r="AE473" s="244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39" t="s">
        <v>1496</v>
      </c>
      <c r="G475" s="2439"/>
      <c r="H475" s="2439"/>
      <c r="I475" s="2439"/>
      <c r="J475" s="2439"/>
      <c r="K475" s="2439"/>
      <c r="L475" s="2439"/>
      <c r="M475" s="2439"/>
      <c r="N475" s="2439"/>
      <c r="O475" s="2439"/>
      <c r="P475" s="2439"/>
      <c r="Q475" s="2439"/>
      <c r="R475" s="2439"/>
      <c r="S475" s="2439"/>
      <c r="T475" s="2439"/>
      <c r="U475" s="2439"/>
      <c r="V475" s="2439"/>
      <c r="W475" s="2439"/>
      <c r="X475" s="2439"/>
      <c r="Y475" s="2439"/>
      <c r="Z475" s="2439"/>
      <c r="AA475" s="2439"/>
      <c r="AB475" s="2439"/>
      <c r="AC475" s="2439"/>
      <c r="AD475" s="2439"/>
      <c r="AE475" s="2439"/>
      <c r="AF475" s="2439"/>
      <c r="AG475" s="740"/>
      <c r="AH475" s="710"/>
      <c r="AI475" s="710"/>
      <c r="AJ475" s="710"/>
      <c r="AK475" s="710"/>
      <c r="AL475" s="741"/>
      <c r="AM475" s="568"/>
      <c r="AN475" s="595"/>
    </row>
    <row r="476" spans="1:40" s="549" customFormat="1" ht="12.75" customHeight="1">
      <c r="A476" s="536"/>
      <c r="B476" s="14"/>
      <c r="C476" s="727"/>
      <c r="D476" s="14"/>
      <c r="E476" s="687"/>
      <c r="F476" s="2440"/>
      <c r="G476" s="2440"/>
      <c r="H476" s="2440"/>
      <c r="I476" s="2440"/>
      <c r="J476" s="2440"/>
      <c r="K476" s="2440"/>
      <c r="L476" s="2440"/>
      <c r="M476" s="2440"/>
      <c r="N476" s="2440"/>
      <c r="O476" s="2440"/>
      <c r="P476" s="2440"/>
      <c r="Q476" s="2440"/>
      <c r="R476" s="2440"/>
      <c r="S476" s="2440"/>
      <c r="T476" s="2440"/>
      <c r="U476" s="2440"/>
      <c r="V476" s="2440"/>
      <c r="W476" s="2440"/>
      <c r="X476" s="2440"/>
      <c r="Y476" s="2440"/>
      <c r="Z476" s="2440"/>
      <c r="AA476" s="2440"/>
      <c r="AB476" s="2440"/>
      <c r="AC476" s="2440"/>
      <c r="AD476" s="2440"/>
      <c r="AE476" s="2440"/>
      <c r="AF476" s="2440"/>
      <c r="AL476" s="728"/>
      <c r="AM476" s="568"/>
      <c r="AN476" s="595"/>
    </row>
    <row r="477" spans="1:40" s="549" customFormat="1" ht="12.75" customHeight="1">
      <c r="A477" s="536"/>
      <c r="B477" s="14"/>
      <c r="C477" s="735"/>
      <c r="F477" s="2440"/>
      <c r="G477" s="2440"/>
      <c r="H477" s="2440"/>
      <c r="I477" s="2440"/>
      <c r="J477" s="2440"/>
      <c r="K477" s="2440"/>
      <c r="L477" s="2440"/>
      <c r="M477" s="2440"/>
      <c r="N477" s="2440"/>
      <c r="O477" s="2440"/>
      <c r="P477" s="2440"/>
      <c r="Q477" s="2440"/>
      <c r="R477" s="2440"/>
      <c r="S477" s="2440"/>
      <c r="T477" s="2440"/>
      <c r="U477" s="2440"/>
      <c r="V477" s="2440"/>
      <c r="W477" s="2440"/>
      <c r="X477" s="2440"/>
      <c r="Y477" s="2440"/>
      <c r="Z477" s="2440"/>
      <c r="AA477" s="2440"/>
      <c r="AB477" s="2440"/>
      <c r="AC477" s="2440"/>
      <c r="AD477" s="2440"/>
      <c r="AE477" s="2440"/>
      <c r="AF477" s="2440"/>
      <c r="AL477" s="728"/>
      <c r="AM477" s="568"/>
      <c r="AN477" s="595"/>
    </row>
    <row r="478" spans="1:40" s="549" customFormat="1" ht="12.75" customHeight="1">
      <c r="A478" s="536"/>
      <c r="B478" s="14"/>
      <c r="C478" s="735"/>
      <c r="F478" s="2440"/>
      <c r="G478" s="2440"/>
      <c r="H478" s="2440"/>
      <c r="I478" s="2440"/>
      <c r="J478" s="2440"/>
      <c r="K478" s="2440"/>
      <c r="L478" s="2440"/>
      <c r="M478" s="2440"/>
      <c r="N478" s="2440"/>
      <c r="O478" s="2440"/>
      <c r="P478" s="2440"/>
      <c r="Q478" s="2440"/>
      <c r="R478" s="2440"/>
      <c r="S478" s="2440"/>
      <c r="T478" s="2440"/>
      <c r="U478" s="2440"/>
      <c r="V478" s="2440"/>
      <c r="W478" s="2440"/>
      <c r="X478" s="2440"/>
      <c r="Y478" s="2440"/>
      <c r="Z478" s="2440"/>
      <c r="AA478" s="2440"/>
      <c r="AB478" s="2440"/>
      <c r="AC478" s="2440"/>
      <c r="AD478" s="2440"/>
      <c r="AE478" s="2440"/>
      <c r="AF478" s="2440"/>
      <c r="AL478" s="728"/>
      <c r="AM478" s="568"/>
      <c r="AN478" s="595"/>
    </row>
    <row r="479" spans="1:40" s="549" customFormat="1" ht="12.75" customHeight="1">
      <c r="A479" s="536"/>
      <c r="B479" s="14"/>
      <c r="C479" s="2464" t="s">
        <v>589</v>
      </c>
      <c r="D479" s="2411"/>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5" t="s">
        <v>1451</v>
      </c>
      <c r="AG479" s="2465"/>
      <c r="AH479" s="2465"/>
      <c r="AI479" s="2465"/>
      <c r="AJ479" s="2465"/>
      <c r="AK479" s="2465"/>
      <c r="AL479" s="246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392">
        <f>IF(Application!D214="N/A",AS371,AS373)</f>
        <v>10</v>
      </c>
      <c r="AL482" s="2438"/>
      <c r="AM482" s="239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589</v>
      </c>
      <c r="AP484" s="549">
        <v>0</v>
      </c>
      <c r="AT484" s="549" t="s">
        <v>589</v>
      </c>
      <c r="AU484" s="549">
        <v>0</v>
      </c>
      <c r="AV484" s="748"/>
    </row>
    <row r="485" spans="1:59" s="549" customFormat="1" ht="12.75" hidden="1" customHeight="1">
      <c r="A485" s="539" t="s">
        <v>1499</v>
      </c>
      <c r="C485" s="539"/>
      <c r="E485" s="594"/>
      <c r="AE485" s="2465" t="s">
        <v>1500</v>
      </c>
      <c r="AF485" s="2465"/>
      <c r="AG485" s="2465"/>
      <c r="AH485" s="2465"/>
      <c r="AI485" s="2465"/>
      <c r="AJ485" s="2465"/>
      <c r="AK485" s="2465"/>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14" t="s">
        <v>589</v>
      </c>
      <c r="D491" s="2415"/>
      <c r="E491" s="757" t="s">
        <v>505</v>
      </c>
      <c r="F491" s="2450" t="s">
        <v>1506</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48" t="s">
        <v>589</v>
      </c>
      <c r="G493" s="2448"/>
      <c r="H493" s="2448"/>
      <c r="I493" s="2448"/>
      <c r="J493" s="2448"/>
      <c r="K493" s="2448"/>
      <c r="L493" s="2448"/>
      <c r="M493" s="2448"/>
      <c r="N493" s="2448"/>
      <c r="O493" s="2448"/>
      <c r="P493" s="2448"/>
      <c r="Q493" s="2448"/>
      <c r="R493" s="2448"/>
      <c r="S493" s="2448"/>
      <c r="T493" s="2448"/>
      <c r="U493" s="2448"/>
      <c r="V493" s="2448"/>
      <c r="W493" s="2448"/>
      <c r="X493" s="2448"/>
      <c r="Y493" s="2448"/>
      <c r="Z493" s="2448"/>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589</v>
      </c>
      <c r="AP494" s="635">
        <v>0</v>
      </c>
      <c r="AT494" s="549" t="s">
        <v>589</v>
      </c>
      <c r="AU494" s="635">
        <v>0</v>
      </c>
      <c r="AW494" s="549" t="s">
        <v>589</v>
      </c>
      <c r="AX494" s="635">
        <v>0</v>
      </c>
      <c r="AY494" s="591"/>
      <c r="BB494" s="549" t="s">
        <v>589</v>
      </c>
      <c r="BC494" s="591">
        <v>0</v>
      </c>
      <c r="BF494" s="549" t="s">
        <v>589</v>
      </c>
      <c r="BG494" s="591">
        <v>0</v>
      </c>
    </row>
    <row r="495" spans="1:59" s="549" customFormat="1" ht="12.75" hidden="1" customHeight="1">
      <c r="C495" s="2417" t="s">
        <v>543</v>
      </c>
      <c r="D495" s="2418"/>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47" t="s">
        <v>589</v>
      </c>
      <c r="W498" s="2447"/>
      <c r="X498" s="2447"/>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589</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47" t="s">
        <v>589</v>
      </c>
      <c r="W500" s="2447"/>
      <c r="X500" s="2447"/>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589</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47" t="s">
        <v>589</v>
      </c>
      <c r="W505" s="2447"/>
      <c r="X505" s="2447"/>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589</v>
      </c>
      <c r="AP507" s="549">
        <v>0</v>
      </c>
      <c r="AQ507" s="539"/>
    </row>
    <row r="508" spans="1:81" s="594" customFormat="1" ht="12.75" hidden="1" customHeight="1">
      <c r="A508" s="549"/>
      <c r="B508" s="549"/>
      <c r="C508" s="777"/>
      <c r="D508" s="2416"/>
      <c r="E508" s="2416"/>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47" t="s">
        <v>589</v>
      </c>
      <c r="W509" s="2447"/>
      <c r="X509" s="2447"/>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47" t="s">
        <v>589</v>
      </c>
      <c r="W511" s="2447"/>
      <c r="X511" s="2447"/>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4" t="s">
        <v>589</v>
      </c>
      <c r="D514" s="2415"/>
      <c r="E514" s="757" t="s">
        <v>505</v>
      </c>
      <c r="F514" s="2450" t="s">
        <v>1506</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3" t="s">
        <v>589</v>
      </c>
      <c r="G516" s="2443"/>
      <c r="H516" s="2443"/>
      <c r="I516" s="2443"/>
      <c r="J516" s="2443"/>
      <c r="K516" s="2443"/>
      <c r="L516" s="2443"/>
      <c r="M516" s="2443"/>
      <c r="N516" s="2443"/>
      <c r="O516" s="2443"/>
      <c r="P516" s="2443"/>
      <c r="Q516" s="2443"/>
      <c r="R516" s="2443"/>
      <c r="S516" s="2443"/>
      <c r="T516" s="2443"/>
      <c r="U516" s="2443"/>
      <c r="V516" s="2443"/>
      <c r="W516" s="2443"/>
      <c r="X516" s="2443"/>
      <c r="Y516" s="2443"/>
      <c r="Z516" s="2443"/>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4" t="s">
        <v>589</v>
      </c>
      <c r="D518" s="2415"/>
      <c r="E518" s="757" t="s">
        <v>755</v>
      </c>
      <c r="F518" s="2444" t="s">
        <v>1528</v>
      </c>
      <c r="G518" s="2444"/>
      <c r="H518" s="2444"/>
      <c r="I518" s="2444"/>
      <c r="J518" s="2444"/>
      <c r="K518" s="2444"/>
      <c r="L518" s="2444"/>
      <c r="M518" s="2444"/>
      <c r="N518" s="2444"/>
      <c r="O518" s="2444"/>
      <c r="P518" s="2444"/>
      <c r="Q518" s="2444"/>
      <c r="R518" s="2444"/>
      <c r="S518" s="2444"/>
      <c r="T518" s="2444"/>
      <c r="U518" s="2444"/>
      <c r="V518" s="2444"/>
      <c r="W518" s="2444"/>
      <c r="X518" s="2444"/>
      <c r="Y518" s="2444"/>
      <c r="Z518" s="2444"/>
      <c r="AA518" s="2444"/>
      <c r="AB518" s="2444"/>
      <c r="AC518" s="2444"/>
      <c r="AD518" s="2444"/>
      <c r="AE518" s="244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5"/>
      <c r="G519" s="2445"/>
      <c r="H519" s="2445"/>
      <c r="I519" s="2445"/>
      <c r="J519" s="2445"/>
      <c r="K519" s="2445"/>
      <c r="L519" s="2445"/>
      <c r="M519" s="2445"/>
      <c r="N519" s="2445"/>
      <c r="O519" s="2445"/>
      <c r="P519" s="2445"/>
      <c r="Q519" s="2445"/>
      <c r="R519" s="2445"/>
      <c r="S519" s="2445"/>
      <c r="T519" s="2445"/>
      <c r="U519" s="2445"/>
      <c r="V519" s="2445"/>
      <c r="W519" s="2445"/>
      <c r="X519" s="2445"/>
      <c r="Y519" s="2445"/>
      <c r="Z519" s="2445"/>
      <c r="AA519" s="2445"/>
      <c r="AB519" s="2445"/>
      <c r="AC519" s="2445"/>
      <c r="AD519" s="2445"/>
      <c r="AE519" s="244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6" t="s">
        <v>589</v>
      </c>
      <c r="G521" s="2446"/>
      <c r="H521" s="244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4" t="s">
        <v>589</v>
      </c>
      <c r="D523" s="2415"/>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2"/>
      <c r="D525" s="2416"/>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3" t="s">
        <v>589</v>
      </c>
      <c r="H526" s="2473"/>
      <c r="I526" s="2473"/>
      <c r="J526" s="2473"/>
      <c r="K526" s="2473"/>
      <c r="L526" s="2473"/>
      <c r="M526" s="2473"/>
      <c r="N526" s="2473"/>
      <c r="O526" s="2473"/>
      <c r="P526" s="2473"/>
      <c r="Q526" s="2473"/>
      <c r="R526" s="2473"/>
      <c r="S526" s="2473"/>
      <c r="T526" s="2473"/>
      <c r="U526" s="2473"/>
      <c r="V526" s="2473"/>
      <c r="W526" s="2473"/>
      <c r="X526" s="2473"/>
      <c r="Y526" s="2473"/>
      <c r="Z526" s="2473"/>
      <c r="AA526" s="2473"/>
      <c r="AB526" s="2473"/>
      <c r="AC526" s="2473"/>
      <c r="AD526" s="2473"/>
      <c r="AE526" s="2473"/>
      <c r="AF526" s="247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4" t="s">
        <v>589</v>
      </c>
      <c r="D528" s="2475"/>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4" t="s">
        <v>589</v>
      </c>
      <c r="D532" s="2475"/>
      <c r="F532" s="791" t="s">
        <v>1536</v>
      </c>
      <c r="G532" s="2440" t="s">
        <v>1537</v>
      </c>
      <c r="H532" s="2440"/>
      <c r="I532" s="2440"/>
      <c r="J532" s="2440"/>
      <c r="K532" s="2440"/>
      <c r="L532" s="2440"/>
      <c r="M532" s="2440"/>
      <c r="N532" s="2440"/>
      <c r="O532" s="2440"/>
      <c r="P532" s="2440"/>
      <c r="Q532" s="2440"/>
      <c r="R532" s="2440"/>
      <c r="S532" s="2440"/>
      <c r="T532" s="2440"/>
      <c r="U532" s="2440"/>
      <c r="V532" s="2440"/>
      <c r="W532" s="2440"/>
      <c r="X532" s="2440"/>
      <c r="Y532" s="2440"/>
      <c r="Z532" s="2440"/>
      <c r="AA532" s="2440"/>
      <c r="AB532" s="2440"/>
      <c r="AC532" s="2440"/>
      <c r="AD532" s="2440"/>
      <c r="AE532" s="2440"/>
      <c r="AF532" s="2440"/>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1"/>
      <c r="H533" s="2441"/>
      <c r="I533" s="2441"/>
      <c r="J533" s="2441"/>
      <c r="K533" s="2441"/>
      <c r="L533" s="2441"/>
      <c r="M533" s="2441"/>
      <c r="N533" s="2441"/>
      <c r="O533" s="2441"/>
      <c r="P533" s="2441"/>
      <c r="Q533" s="2441"/>
      <c r="R533" s="2441"/>
      <c r="S533" s="2441"/>
      <c r="T533" s="2441"/>
      <c r="U533" s="2441"/>
      <c r="V533" s="2441"/>
      <c r="W533" s="2441"/>
      <c r="X533" s="2441"/>
      <c r="Y533" s="2441"/>
      <c r="Z533" s="2441"/>
      <c r="AA533" s="2441"/>
      <c r="AB533" s="2441"/>
      <c r="AC533" s="2441"/>
      <c r="AD533" s="2441"/>
      <c r="AE533" s="2441"/>
      <c r="AF533" s="244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6" t="s">
        <v>589</v>
      </c>
      <c r="D536" s="2477"/>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8" t="s">
        <v>589</v>
      </c>
      <c r="G537" s="2478"/>
      <c r="H537" s="2478"/>
      <c r="I537" s="2478"/>
      <c r="J537" s="2478"/>
      <c r="K537" s="2478"/>
      <c r="L537" s="2478"/>
      <c r="M537" s="2478"/>
      <c r="N537" s="2478"/>
      <c r="O537" s="2478"/>
      <c r="P537" s="2478"/>
      <c r="Q537" s="2478"/>
      <c r="R537" s="2478"/>
      <c r="S537" s="2478"/>
      <c r="T537" s="2478"/>
      <c r="U537" s="2478"/>
      <c r="V537" s="2478"/>
      <c r="W537" s="2478"/>
      <c r="X537" s="2478"/>
      <c r="Y537" s="2478"/>
      <c r="Z537" s="2478"/>
      <c r="AA537" s="2478"/>
      <c r="AB537" s="2478"/>
      <c r="AC537" s="2478"/>
      <c r="AD537" s="2478"/>
      <c r="AE537" s="2478"/>
      <c r="AF537" s="247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9"/>
      <c r="G538" s="2479"/>
      <c r="H538" s="2479"/>
      <c r="I538" s="2479"/>
      <c r="J538" s="2479"/>
      <c r="K538" s="2479"/>
      <c r="L538" s="2479"/>
      <c r="M538" s="2479"/>
      <c r="N538" s="2479"/>
      <c r="O538" s="2479"/>
      <c r="P538" s="2479"/>
      <c r="Q538" s="2479"/>
      <c r="R538" s="2479"/>
      <c r="S538" s="2479"/>
      <c r="T538" s="2479"/>
      <c r="U538" s="2479"/>
      <c r="V538" s="2479"/>
      <c r="W538" s="2479"/>
      <c r="X538" s="2479"/>
      <c r="Y538" s="2479"/>
      <c r="Z538" s="2479"/>
      <c r="AA538" s="2479"/>
      <c r="AB538" s="2479"/>
      <c r="AC538" s="2479"/>
      <c r="AD538" s="2479"/>
      <c r="AE538" s="2479"/>
      <c r="AF538" s="247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392">
        <f>SUM(AG492:AG537)</f>
        <v>0</v>
      </c>
      <c r="AL548" s="2438"/>
      <c r="AM548" s="239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9" t="s">
        <v>1549</v>
      </c>
      <c r="AF551" s="2449"/>
      <c r="AG551" s="2449"/>
      <c r="AH551" s="2449"/>
      <c r="AI551" s="2449"/>
      <c r="AJ551" s="2449"/>
      <c r="AK551" s="2449"/>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1" t="s">
        <v>589</v>
      </c>
      <c r="D554" s="2411"/>
      <c r="E554" s="550"/>
      <c r="F554" s="2551" t="s">
        <v>1550</v>
      </c>
      <c r="G554" s="2552"/>
      <c r="H554" s="2552"/>
      <c r="I554" s="2552"/>
      <c r="J554" s="2552"/>
      <c r="K554" s="2552"/>
      <c r="L554" s="2552"/>
      <c r="M554" s="2552"/>
      <c r="N554" s="2552"/>
      <c r="O554" s="2552"/>
      <c r="P554" s="2552"/>
      <c r="Q554" s="2552"/>
      <c r="R554" s="2552"/>
      <c r="S554" s="2552"/>
      <c r="T554" s="2552"/>
      <c r="U554" s="2552"/>
      <c r="V554" s="2552"/>
      <c r="W554" s="2552"/>
      <c r="X554" s="2552"/>
      <c r="Y554" s="2552"/>
      <c r="Z554" s="2552"/>
      <c r="AA554" s="2552"/>
      <c r="AB554" s="2552"/>
      <c r="AC554" s="2552"/>
      <c r="AD554" s="2552"/>
      <c r="AE554" s="2552"/>
      <c r="AF554" s="2552"/>
      <c r="AG554" s="2552"/>
      <c r="AH554" s="2552"/>
      <c r="AI554" s="2552"/>
      <c r="AJ554" s="2552"/>
      <c r="AK554" s="2552"/>
      <c r="AL554" s="2553"/>
      <c r="AM554" s="593"/>
      <c r="AN554" s="595"/>
    </row>
    <row r="555" spans="1:81" s="549" customFormat="1" ht="12.75" customHeight="1">
      <c r="B555" s="539"/>
      <c r="C555" s="550"/>
      <c r="D555" s="550"/>
      <c r="E555" s="550"/>
      <c r="F555" s="2554"/>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5"/>
      <c r="AK555" s="2555"/>
      <c r="AL555" s="255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1" t="s">
        <v>543</v>
      </c>
      <c r="D557" s="2411"/>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1" t="s">
        <v>2621</v>
      </c>
      <c r="G558" s="2389"/>
      <c r="H558" s="2389"/>
      <c r="I558" s="2389"/>
      <c r="J558" s="2389"/>
      <c r="K558" s="2389"/>
      <c r="L558" s="2389"/>
      <c r="M558" s="2389"/>
      <c r="N558" s="2389"/>
      <c r="O558" s="2389"/>
      <c r="P558" s="2389"/>
      <c r="Q558" s="2389"/>
      <c r="R558" s="2389"/>
      <c r="S558" s="2389"/>
      <c r="T558" s="2389"/>
      <c r="U558" s="2389"/>
      <c r="V558" s="2389"/>
      <c r="W558" s="2389"/>
      <c r="X558" s="2389"/>
      <c r="Y558" s="2389"/>
      <c r="Z558" s="2389"/>
      <c r="AA558" s="2389"/>
      <c r="AB558" s="2389"/>
      <c r="AC558" s="2389"/>
      <c r="AD558" s="2389"/>
      <c r="AE558" s="2389"/>
      <c r="AF558" s="2389"/>
      <c r="AG558" s="2389"/>
      <c r="AH558" s="2389"/>
      <c r="AI558" s="2389"/>
      <c r="AJ558" s="2389"/>
      <c r="AK558" s="2389"/>
      <c r="AL558" s="2432"/>
      <c r="AM558" s="593"/>
      <c r="AN558" s="595"/>
      <c r="AS558" s="866"/>
      <c r="AT558" s="866"/>
      <c r="AU558" s="866"/>
      <c r="AV558" s="866"/>
      <c r="AW558" s="866"/>
    </row>
    <row r="559" spans="1:81" s="549" customFormat="1" ht="12.75" customHeight="1">
      <c r="B559" s="802"/>
      <c r="C559" s="802"/>
      <c r="D559" s="802"/>
      <c r="E559" s="802"/>
      <c r="F559" s="2431"/>
      <c r="G559" s="2389"/>
      <c r="H559" s="2389"/>
      <c r="I559" s="2389"/>
      <c r="J559" s="2389"/>
      <c r="K559" s="2389"/>
      <c r="L559" s="2389"/>
      <c r="M559" s="2389"/>
      <c r="N559" s="2389"/>
      <c r="O559" s="2389"/>
      <c r="P559" s="2389"/>
      <c r="Q559" s="2389"/>
      <c r="R559" s="2389"/>
      <c r="S559" s="2389"/>
      <c r="T559" s="2389"/>
      <c r="U559" s="2389"/>
      <c r="V559" s="2389"/>
      <c r="W559" s="2389"/>
      <c r="X559" s="2389"/>
      <c r="Y559" s="2389"/>
      <c r="Z559" s="2389"/>
      <c r="AA559" s="2389"/>
      <c r="AB559" s="2389"/>
      <c r="AC559" s="2389"/>
      <c r="AD559" s="2389"/>
      <c r="AE559" s="2389"/>
      <c r="AF559" s="2389"/>
      <c r="AG559" s="2389"/>
      <c r="AH559" s="2389"/>
      <c r="AI559" s="2389"/>
      <c r="AJ559" s="2389"/>
      <c r="AK559" s="2389"/>
      <c r="AL559" s="2432"/>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1" t="s">
        <v>1552</v>
      </c>
      <c r="G561" s="2389"/>
      <c r="H561" s="2389"/>
      <c r="I561" s="2389"/>
      <c r="J561" s="2389"/>
      <c r="K561" s="2389"/>
      <c r="L561" s="2389"/>
      <c r="M561" s="2389"/>
      <c r="N561" s="2389"/>
      <c r="O561" s="2389"/>
      <c r="P561" s="2389"/>
      <c r="Q561" s="2389"/>
      <c r="R561" s="2389"/>
      <c r="S561" s="2389"/>
      <c r="T561" s="2389"/>
      <c r="U561" s="2389"/>
      <c r="V561" s="2389"/>
      <c r="W561" s="2389"/>
      <c r="X561" s="2389"/>
      <c r="Y561" s="2389"/>
      <c r="Z561" s="2389"/>
      <c r="AA561" s="2389"/>
      <c r="AB561" s="2389"/>
      <c r="AC561" s="2389"/>
      <c r="AD561" s="2389"/>
      <c r="AE561" s="2389"/>
      <c r="AF561" s="2389"/>
      <c r="AG561" s="2389"/>
      <c r="AH561" s="2389"/>
      <c r="AI561" s="2389"/>
      <c r="AJ561" s="2389"/>
      <c r="AK561" s="2389"/>
      <c r="AL561" s="809"/>
      <c r="AM561" s="593"/>
      <c r="AN561" s="595"/>
    </row>
    <row r="562" spans="1:45" s="549" customFormat="1" ht="12.75" customHeight="1">
      <c r="B562" s="802"/>
      <c r="C562" s="802"/>
      <c r="D562" s="802"/>
      <c r="E562" s="802"/>
      <c r="F562" s="2433"/>
      <c r="G562" s="2434"/>
      <c r="H562" s="2434"/>
      <c r="I562" s="2434"/>
      <c r="J562" s="2434"/>
      <c r="K562" s="2434"/>
      <c r="L562" s="2434"/>
      <c r="M562" s="2434"/>
      <c r="N562" s="2434"/>
      <c r="O562" s="2434"/>
      <c r="P562" s="2434"/>
      <c r="Q562" s="2434"/>
      <c r="R562" s="2434"/>
      <c r="S562" s="2434"/>
      <c r="T562" s="2434"/>
      <c r="U562" s="2434"/>
      <c r="V562" s="2434"/>
      <c r="W562" s="2434"/>
      <c r="X562" s="2434"/>
      <c r="Y562" s="2434"/>
      <c r="Z562" s="2434"/>
      <c r="AA562" s="2434"/>
      <c r="AB562" s="2434"/>
      <c r="AC562" s="2434"/>
      <c r="AD562" s="2434"/>
      <c r="AE562" s="2434"/>
      <c r="AF562" s="2434"/>
      <c r="AG562" s="2434"/>
      <c r="AH562" s="2434"/>
      <c r="AI562" s="2434"/>
      <c r="AJ562" s="2434"/>
      <c r="AK562" s="2434"/>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0">
        <f>Application!AJ1001</f>
        <v>144858240</v>
      </c>
      <c r="AQ563" s="2430"/>
      <c r="AR563" s="2430"/>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5">
        <f>'Sources and Uses Budget'!S107+'Sources and Uses Budget'!T107</f>
        <v>104399172.54710472</v>
      </c>
      <c r="AG564" s="2435"/>
      <c r="AH564" s="2435"/>
      <c r="AI564" s="2435"/>
      <c r="AJ564" s="2435"/>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6">
        <f>IFERROR(AP572,0)</f>
        <v>188315712</v>
      </c>
      <c r="AG565" s="2436"/>
      <c r="AH565" s="2436"/>
      <c r="AI565" s="2436"/>
      <c r="AJ565" s="2436"/>
      <c r="AK565" s="593"/>
      <c r="AL565" s="593"/>
      <c r="AM565" s="593"/>
      <c r="AN565" s="595"/>
      <c r="AP565" s="2430">
        <f>Application!AJ1054</f>
        <v>14485824</v>
      </c>
      <c r="AQ565" s="2430"/>
      <c r="AR565" s="2430"/>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7">
        <f>IFERROR(ROUNDDOWN(IF(C557="YES",((1-(AF564/AF565))*2),(1-(AF564/AF565))),2),0)</f>
        <v>0.89</v>
      </c>
      <c r="AG566" s="2437"/>
      <c r="AH566" s="2437"/>
      <c r="AI566" s="2437"/>
      <c r="AJ566" s="2437"/>
      <c r="AK566" s="593"/>
      <c r="AL566" s="593"/>
      <c r="AM566" s="593"/>
      <c r="AN566" s="595"/>
      <c r="AP566" s="2428">
        <f>Application!AJ1058</f>
        <v>28971648</v>
      </c>
      <c r="AQ566" s="2428"/>
      <c r="AR566" s="2428"/>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8">
        <f>IF(((AP565+AP566)/AP563)&gt;0.8,0.8,((AP565+AP566)/AP563))</f>
        <v>0.3</v>
      </c>
      <c r="AQ567" s="2458"/>
      <c r="AR567" s="2458"/>
      <c r="AS567" s="549" t="s">
        <v>2123</v>
      </c>
    </row>
    <row r="568" spans="1:45" s="549" customFormat="1" ht="12.75" customHeight="1">
      <c r="A568" s="622"/>
      <c r="B568" s="2508" t="s">
        <v>1990</v>
      </c>
      <c r="C568" s="2509"/>
      <c r="D568" s="2509"/>
      <c r="E568" s="2509"/>
      <c r="F568" s="2509"/>
      <c r="G568" s="2509"/>
      <c r="H568" s="2509"/>
      <c r="I568" s="2509"/>
      <c r="J568" s="2509"/>
      <c r="K568" s="2509"/>
      <c r="L568" s="2509"/>
      <c r="M568" s="2509"/>
      <c r="N568" s="2509"/>
      <c r="O568" s="2509"/>
      <c r="P568" s="2509"/>
      <c r="Q568" s="2509"/>
      <c r="R568" s="2509"/>
      <c r="S568" s="2509"/>
      <c r="T568" s="2509"/>
      <c r="U568" s="2509"/>
      <c r="V568" s="2509"/>
      <c r="W568" s="2509"/>
      <c r="X568" s="2509"/>
      <c r="Y568" s="2509"/>
      <c r="Z568" s="2509"/>
      <c r="AA568" s="2509"/>
      <c r="AB568" s="2509"/>
      <c r="AC568" s="2509"/>
      <c r="AD568" s="2509"/>
      <c r="AE568" s="2509"/>
      <c r="AF568" s="2509"/>
      <c r="AG568" s="2509"/>
      <c r="AH568" s="2509"/>
      <c r="AI568" s="2509"/>
      <c r="AJ568" s="2510"/>
      <c r="AK568" s="593"/>
      <c r="AL568" s="593"/>
      <c r="AM568" s="593"/>
      <c r="AN568" s="595"/>
    </row>
    <row r="569" spans="1:45" s="549" customFormat="1" ht="12.75" customHeight="1">
      <c r="A569" s="622"/>
      <c r="B569" s="2511"/>
      <c r="C569" s="2512"/>
      <c r="D569" s="2512"/>
      <c r="E569" s="2512"/>
      <c r="F569" s="2512"/>
      <c r="G569" s="2512"/>
      <c r="H569" s="2512"/>
      <c r="I569" s="2512"/>
      <c r="J569" s="2512"/>
      <c r="K569" s="2512"/>
      <c r="L569" s="2512"/>
      <c r="M569" s="2512"/>
      <c r="N569" s="2512"/>
      <c r="O569" s="2512"/>
      <c r="P569" s="2512"/>
      <c r="Q569" s="2512"/>
      <c r="R569" s="2512"/>
      <c r="S569" s="2512"/>
      <c r="T569" s="2512"/>
      <c r="U569" s="2512"/>
      <c r="V569" s="2512"/>
      <c r="W569" s="2512"/>
      <c r="X569" s="2512"/>
      <c r="Y569" s="2512"/>
      <c r="Z569" s="2512"/>
      <c r="AA569" s="2512"/>
      <c r="AB569" s="2512"/>
      <c r="AC569" s="2512"/>
      <c r="AD569" s="2512"/>
      <c r="AE569" s="2512"/>
      <c r="AF569" s="2512"/>
      <c r="AG569" s="2512"/>
      <c r="AH569" s="2512"/>
      <c r="AI569" s="2512"/>
      <c r="AJ569" s="2513"/>
      <c r="AK569" s="593"/>
      <c r="AL569" s="593"/>
      <c r="AM569" s="593"/>
      <c r="AN569" s="595"/>
      <c r="AP569" s="2430">
        <f>AP570-AP565-AP566</f>
        <v>144858240</v>
      </c>
      <c r="AQ569" s="2459"/>
      <c r="AR569" s="2459"/>
      <c r="AS569" s="549" t="s">
        <v>2125</v>
      </c>
    </row>
    <row r="570" spans="1:45" s="549" customFormat="1" ht="12.75" customHeight="1">
      <c r="A570" s="622"/>
      <c r="B570" s="2514"/>
      <c r="C570" s="2515"/>
      <c r="D570" s="2515"/>
      <c r="E570" s="2515"/>
      <c r="F570" s="2515"/>
      <c r="G570" s="2515"/>
      <c r="H570" s="2515"/>
      <c r="I570" s="2515"/>
      <c r="J570" s="2515"/>
      <c r="K570" s="2515"/>
      <c r="L570" s="2515"/>
      <c r="M570" s="2515"/>
      <c r="N570" s="2515"/>
      <c r="O570" s="2515"/>
      <c r="P570" s="2515"/>
      <c r="Q570" s="2515"/>
      <c r="R570" s="2515"/>
      <c r="S570" s="2515"/>
      <c r="T570" s="2515"/>
      <c r="U570" s="2515"/>
      <c r="V570" s="2515"/>
      <c r="W570" s="2515"/>
      <c r="X570" s="2515"/>
      <c r="Y570" s="2515"/>
      <c r="Z570" s="2515"/>
      <c r="AA570" s="2515"/>
      <c r="AB570" s="2515"/>
      <c r="AC570" s="2515"/>
      <c r="AD570" s="2515"/>
      <c r="AE570" s="2515"/>
      <c r="AF570" s="2515"/>
      <c r="AG570" s="2515"/>
      <c r="AH570" s="2515"/>
      <c r="AI570" s="2515"/>
      <c r="AJ570" s="2516"/>
      <c r="AK570" s="593"/>
      <c r="AL570" s="593"/>
      <c r="AM570" s="593"/>
      <c r="AN570" s="595"/>
      <c r="AP570" s="2430">
        <f>Application!AJ1062</f>
        <v>188315712</v>
      </c>
      <c r="AQ570" s="2430"/>
      <c r="AR570" s="2430"/>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17">
        <f>IFERROR(IF(AND(C554="N/A",C557="N/A"),0,IF(AF566=0,0,IF((AF566*100)&gt;12,12,(AF566*100)))),0)</f>
        <v>12</v>
      </c>
      <c r="AL572" s="2517"/>
      <c r="AM572" s="2518"/>
      <c r="AN572" s="595"/>
      <c r="AP572" s="2419">
        <f>AP569+(AP563*AP567)</f>
        <v>188315712</v>
      </c>
      <c r="AQ572" s="2420"/>
      <c r="AR572" s="24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9" t="s">
        <v>1306</v>
      </c>
      <c r="AF575" s="2449"/>
      <c r="AG575" s="2449"/>
      <c r="AH575" s="2449"/>
      <c r="AI575" s="2449"/>
      <c r="AJ575" s="2449"/>
      <c r="AK575" s="244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9" t="s">
        <v>1982</v>
      </c>
      <c r="C577" s="2389"/>
      <c r="D577" s="2389"/>
      <c r="E577" s="2389"/>
      <c r="F577" s="2389"/>
      <c r="G577" s="2389"/>
      <c r="H577" s="2389"/>
      <c r="I577" s="2389"/>
      <c r="J577" s="2389"/>
      <c r="K577" s="2389"/>
      <c r="L577" s="2389"/>
      <c r="M577" s="2389"/>
      <c r="N577" s="2389"/>
      <c r="O577" s="2389"/>
      <c r="P577" s="2389"/>
      <c r="Q577" s="2389"/>
      <c r="R577" s="2389"/>
      <c r="S577" s="2389"/>
      <c r="T577" s="2389"/>
      <c r="U577" s="2389"/>
      <c r="V577" s="2389"/>
      <c r="W577" s="2389"/>
      <c r="X577" s="2389"/>
      <c r="Y577" s="2389"/>
      <c r="Z577" s="2389"/>
      <c r="AA577" s="2389"/>
      <c r="AB577" s="2389"/>
      <c r="AC577" s="2389"/>
      <c r="AD577" s="2389"/>
      <c r="AE577" s="2389"/>
      <c r="AF577" s="2389"/>
      <c r="AG577" s="2389"/>
      <c r="AH577" s="2389"/>
      <c r="AI577" s="2389"/>
      <c r="AJ577" s="2389"/>
      <c r="AK577" s="640"/>
      <c r="AL577" s="571"/>
      <c r="AM577" s="601"/>
      <c r="AN577" s="595"/>
    </row>
    <row r="578" spans="1:42" s="549" customFormat="1" ht="12.75" customHeight="1">
      <c r="A578" s="601"/>
      <c r="B578" s="2389"/>
      <c r="C578" s="2389"/>
      <c r="D578" s="2389"/>
      <c r="E578" s="2389"/>
      <c r="F578" s="2389"/>
      <c r="G578" s="2389"/>
      <c r="H578" s="2389"/>
      <c r="I578" s="2389"/>
      <c r="J578" s="2389"/>
      <c r="K578" s="2389"/>
      <c r="L578" s="2389"/>
      <c r="M578" s="2389"/>
      <c r="N578" s="2389"/>
      <c r="O578" s="2389"/>
      <c r="P578" s="2389"/>
      <c r="Q578" s="2389"/>
      <c r="R578" s="2389"/>
      <c r="S578" s="2389"/>
      <c r="T578" s="2389"/>
      <c r="U578" s="2389"/>
      <c r="V578" s="2389"/>
      <c r="W578" s="2389"/>
      <c r="X578" s="2389"/>
      <c r="Y578" s="2389"/>
      <c r="Z578" s="2389"/>
      <c r="AA578" s="2389"/>
      <c r="AB578" s="2389"/>
      <c r="AC578" s="2389"/>
      <c r="AD578" s="2389"/>
      <c r="AE578" s="2389"/>
      <c r="AF578" s="2389"/>
      <c r="AG578" s="2389"/>
      <c r="AH578" s="2389"/>
      <c r="AI578" s="2389"/>
      <c r="AJ578" s="2389"/>
      <c r="AK578" s="640"/>
      <c r="AL578" s="571"/>
      <c r="AM578" s="601"/>
      <c r="AN578" s="595"/>
    </row>
    <row r="579" spans="1:42" s="549" customFormat="1" ht="12.75" customHeight="1">
      <c r="A579" s="601"/>
      <c r="B579" s="2389"/>
      <c r="C579" s="2389"/>
      <c r="D579" s="2389"/>
      <c r="E579" s="2389"/>
      <c r="F579" s="2389"/>
      <c r="G579" s="2389"/>
      <c r="H579" s="2389"/>
      <c r="I579" s="2389"/>
      <c r="J579" s="2389"/>
      <c r="K579" s="2389"/>
      <c r="L579" s="2389"/>
      <c r="M579" s="2389"/>
      <c r="N579" s="2389"/>
      <c r="O579" s="2389"/>
      <c r="P579" s="2389"/>
      <c r="Q579" s="2389"/>
      <c r="R579" s="2389"/>
      <c r="S579" s="2389"/>
      <c r="T579" s="2389"/>
      <c r="U579" s="2389"/>
      <c r="V579" s="2389"/>
      <c r="W579" s="2389"/>
      <c r="X579" s="2389"/>
      <c r="Y579" s="2389"/>
      <c r="Z579" s="2389"/>
      <c r="AA579" s="2389"/>
      <c r="AB579" s="2389"/>
      <c r="AC579" s="2389"/>
      <c r="AD579" s="2389"/>
      <c r="AE579" s="2389"/>
      <c r="AF579" s="2389"/>
      <c r="AG579" s="2389"/>
      <c r="AH579" s="2389"/>
      <c r="AI579" s="2389"/>
      <c r="AJ579" s="2389"/>
      <c r="AK579" s="640"/>
      <c r="AL579" s="571"/>
      <c r="AM579" s="601"/>
      <c r="AN579" s="595"/>
    </row>
    <row r="580" spans="1:42" s="549" customFormat="1" ht="12.75" customHeight="1">
      <c r="A580" s="601"/>
      <c r="B580" s="2389"/>
      <c r="C580" s="2389"/>
      <c r="D580" s="2389"/>
      <c r="E580" s="2389"/>
      <c r="F580" s="2389"/>
      <c r="G580" s="2389"/>
      <c r="H580" s="2389"/>
      <c r="I580" s="2389"/>
      <c r="J580" s="2389"/>
      <c r="K580" s="2389"/>
      <c r="L580" s="2389"/>
      <c r="M580" s="2389"/>
      <c r="N580" s="2389"/>
      <c r="O580" s="2389"/>
      <c r="P580" s="2389"/>
      <c r="Q580" s="2389"/>
      <c r="R580" s="2389"/>
      <c r="S580" s="2389"/>
      <c r="T580" s="2389"/>
      <c r="U580" s="2389"/>
      <c r="V580" s="2389"/>
      <c r="W580" s="2389"/>
      <c r="X580" s="2389"/>
      <c r="Y580" s="2389"/>
      <c r="Z580" s="2389"/>
      <c r="AA580" s="2389"/>
      <c r="AB580" s="2389"/>
      <c r="AC580" s="2389"/>
      <c r="AD580" s="2389"/>
      <c r="AE580" s="2389"/>
      <c r="AF580" s="2389"/>
      <c r="AG580" s="2389"/>
      <c r="AH580" s="2389"/>
      <c r="AI580" s="2389"/>
      <c r="AJ580" s="2389"/>
      <c r="AK580" s="640"/>
      <c r="AL580" s="571"/>
      <c r="AM580" s="601"/>
      <c r="AN580" s="595"/>
    </row>
    <row r="581" spans="1:42" s="549" customFormat="1" ht="12.75" customHeight="1">
      <c r="A581" s="601"/>
      <c r="B581" s="2389"/>
      <c r="C581" s="2389"/>
      <c r="D581" s="2389"/>
      <c r="E581" s="2389"/>
      <c r="F581" s="2389"/>
      <c r="G581" s="2389"/>
      <c r="H581" s="2389"/>
      <c r="I581" s="2389"/>
      <c r="J581" s="2389"/>
      <c r="K581" s="2389"/>
      <c r="L581" s="2389"/>
      <c r="M581" s="2389"/>
      <c r="N581" s="2389"/>
      <c r="O581" s="2389"/>
      <c r="P581" s="2389"/>
      <c r="Q581" s="2389"/>
      <c r="R581" s="2389"/>
      <c r="S581" s="2389"/>
      <c r="T581" s="2389"/>
      <c r="U581" s="2389"/>
      <c r="V581" s="2389"/>
      <c r="W581" s="2389"/>
      <c r="X581" s="2389"/>
      <c r="Y581" s="2389"/>
      <c r="Z581" s="2389"/>
      <c r="AA581" s="2389"/>
      <c r="AB581" s="2389"/>
      <c r="AC581" s="2389"/>
      <c r="AD581" s="2389"/>
      <c r="AE581" s="2389"/>
      <c r="AF581" s="2389"/>
      <c r="AG581" s="2389"/>
      <c r="AH581" s="2389"/>
      <c r="AI581" s="2389"/>
      <c r="AJ581" s="2389"/>
      <c r="AK581" s="640"/>
      <c r="AL581" s="571"/>
      <c r="AM581" s="601"/>
      <c r="AN581" s="595"/>
    </row>
    <row r="582" spans="1:42" s="549" customFormat="1" ht="12.75" customHeight="1">
      <c r="A582" s="601"/>
      <c r="B582" s="2389"/>
      <c r="C582" s="2389"/>
      <c r="D582" s="2389"/>
      <c r="E582" s="2389"/>
      <c r="F582" s="2389"/>
      <c r="G582" s="2389"/>
      <c r="H582" s="2389"/>
      <c r="I582" s="2389"/>
      <c r="J582" s="2389"/>
      <c r="K582" s="2389"/>
      <c r="L582" s="2389"/>
      <c r="M582" s="2389"/>
      <c r="N582" s="2389"/>
      <c r="O582" s="2389"/>
      <c r="P582" s="2389"/>
      <c r="Q582" s="2389"/>
      <c r="R582" s="2389"/>
      <c r="S582" s="2389"/>
      <c r="T582" s="2389"/>
      <c r="U582" s="2389"/>
      <c r="V582" s="2389"/>
      <c r="W582" s="2389"/>
      <c r="X582" s="2389"/>
      <c r="Y582" s="2389"/>
      <c r="Z582" s="2389"/>
      <c r="AA582" s="2389"/>
      <c r="AB582" s="2389"/>
      <c r="AC582" s="2389"/>
      <c r="AD582" s="2389"/>
      <c r="AE582" s="2389"/>
      <c r="AF582" s="2389"/>
      <c r="AG582" s="2389"/>
      <c r="AH582" s="2389"/>
      <c r="AI582" s="2389"/>
      <c r="AJ582" s="2389"/>
      <c r="AK582" s="640"/>
      <c r="AL582" s="571"/>
      <c r="AM582" s="601"/>
      <c r="AN582" s="595"/>
    </row>
    <row r="583" spans="1:42" s="549" customFormat="1" ht="12.75" customHeight="1">
      <c r="A583" s="601"/>
      <c r="B583" s="2389"/>
      <c r="C583" s="2389"/>
      <c r="D583" s="2389"/>
      <c r="E583" s="2389"/>
      <c r="F583" s="2389"/>
      <c r="G583" s="2389"/>
      <c r="H583" s="2389"/>
      <c r="I583" s="2389"/>
      <c r="J583" s="2389"/>
      <c r="K583" s="2389"/>
      <c r="L583" s="2389"/>
      <c r="M583" s="2389"/>
      <c r="N583" s="2389"/>
      <c r="O583" s="2389"/>
      <c r="P583" s="2389"/>
      <c r="Q583" s="2389"/>
      <c r="R583" s="2389"/>
      <c r="S583" s="2389"/>
      <c r="T583" s="2389"/>
      <c r="U583" s="2389"/>
      <c r="V583" s="2389"/>
      <c r="W583" s="2389"/>
      <c r="X583" s="2389"/>
      <c r="Y583" s="2389"/>
      <c r="Z583" s="2389"/>
      <c r="AA583" s="2389"/>
      <c r="AB583" s="2389"/>
      <c r="AC583" s="2389"/>
      <c r="AD583" s="2389"/>
      <c r="AE583" s="2389"/>
      <c r="AF583" s="2389"/>
      <c r="AG583" s="2389"/>
      <c r="AH583" s="2389"/>
      <c r="AI583" s="2389"/>
      <c r="AJ583" s="2389"/>
      <c r="AK583" s="640"/>
      <c r="AL583" s="571"/>
      <c r="AM583" s="601"/>
      <c r="AN583" s="595"/>
    </row>
    <row r="584" spans="1:42" ht="12.75" customHeight="1">
      <c r="A584" s="601"/>
      <c r="B584" s="2389"/>
      <c r="C584" s="2389"/>
      <c r="D584" s="2389"/>
      <c r="E584" s="2389"/>
      <c r="F584" s="2389"/>
      <c r="G584" s="2389"/>
      <c r="H584" s="2389"/>
      <c r="I584" s="2389"/>
      <c r="J584" s="2389"/>
      <c r="K584" s="2389"/>
      <c r="L584" s="2389"/>
      <c r="M584" s="2389"/>
      <c r="N584" s="2389"/>
      <c r="O584" s="2389"/>
      <c r="P584" s="2389"/>
      <c r="Q584" s="2389"/>
      <c r="R584" s="2389"/>
      <c r="S584" s="2389"/>
      <c r="T584" s="2389"/>
      <c r="U584" s="2389"/>
      <c r="V584" s="2389"/>
      <c r="W584" s="2389"/>
      <c r="X584" s="2389"/>
      <c r="Y584" s="2389"/>
      <c r="Z584" s="2389"/>
      <c r="AA584" s="2389"/>
      <c r="AB584" s="2389"/>
      <c r="AC584" s="2389"/>
      <c r="AD584" s="2389"/>
      <c r="AE584" s="2389"/>
      <c r="AF584" s="2389"/>
      <c r="AG584" s="2389"/>
      <c r="AH584" s="2389"/>
      <c r="AI584" s="2389"/>
      <c r="AJ584" s="2389"/>
      <c r="AK584" s="640"/>
      <c r="AL584" s="571"/>
      <c r="AM584" s="601"/>
    </row>
    <row r="585" spans="1:42" s="549" customFormat="1" ht="12.75" customHeight="1">
      <c r="B585" s="2389"/>
      <c r="C585" s="2389"/>
      <c r="D585" s="2389"/>
      <c r="E585" s="2389"/>
      <c r="F585" s="2389"/>
      <c r="G585" s="2389"/>
      <c r="H585" s="2389"/>
      <c r="I585" s="2389"/>
      <c r="J585" s="2389"/>
      <c r="K585" s="2389"/>
      <c r="L585" s="2389"/>
      <c r="M585" s="2389"/>
      <c r="N585" s="2389"/>
      <c r="O585" s="2389"/>
      <c r="P585" s="2389"/>
      <c r="Q585" s="2389"/>
      <c r="R585" s="2389"/>
      <c r="S585" s="2389"/>
      <c r="T585" s="2389"/>
      <c r="U585" s="2389"/>
      <c r="V585" s="2389"/>
      <c r="W585" s="2389"/>
      <c r="X585" s="2389"/>
      <c r="Y585" s="2389"/>
      <c r="Z585" s="2389"/>
      <c r="AA585" s="2389"/>
      <c r="AB585" s="2389"/>
      <c r="AC585" s="2389"/>
      <c r="AD585" s="2389"/>
      <c r="AE585" s="2389"/>
      <c r="AF585" s="2389"/>
      <c r="AG585" s="2389"/>
      <c r="AH585" s="2389"/>
      <c r="AI585" s="2389"/>
      <c r="AJ585" s="238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589</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543</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0" t="s">
        <v>1330</v>
      </c>
      <c r="AG591" s="2390"/>
      <c r="AH591" s="2390"/>
      <c r="AI591" s="2390"/>
      <c r="AJ591" s="2390"/>
      <c r="AK591" s="2390"/>
      <c r="AL591" s="2390"/>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0</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507</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0" t="s">
        <v>1386</v>
      </c>
      <c r="AG598" s="2390"/>
      <c r="AH598" s="2390"/>
      <c r="AI598" s="2390"/>
      <c r="AJ598" s="2390"/>
      <c r="AK598" s="2390"/>
      <c r="AL598" s="2390"/>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589</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0</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507</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0" t="s">
        <v>1369</v>
      </c>
      <c r="AG604" s="2390"/>
      <c r="AH604" s="2390"/>
      <c r="AI604" s="2390"/>
      <c r="AJ604" s="2390"/>
      <c r="AK604" s="2390"/>
      <c r="AL604" s="2390"/>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0" t="s">
        <v>1389</v>
      </c>
      <c r="AG610" s="2390"/>
      <c r="AH610" s="2390"/>
      <c r="AI610" s="2390"/>
      <c r="AJ610" s="2390"/>
      <c r="AK610" s="2390"/>
      <c r="AL610" s="2390"/>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35" t="s">
        <v>1182</v>
      </c>
      <c r="P614" s="2535"/>
      <c r="Q614" s="2535"/>
      <c r="R614" s="2535"/>
      <c r="S614" s="2535"/>
      <c r="T614" s="2535"/>
      <c r="U614" s="2535"/>
      <c r="V614" s="2535"/>
      <c r="W614" s="2535"/>
      <c r="X614" s="2535"/>
      <c r="Y614" s="2535"/>
      <c r="Z614" s="2535"/>
      <c r="AA614" s="2535"/>
      <c r="AB614" s="2535"/>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0" t="s">
        <v>1344</v>
      </c>
      <c r="AG616" s="2390"/>
      <c r="AH616" s="2390"/>
      <c r="AI616" s="2390"/>
      <c r="AJ616" s="2390"/>
      <c r="AK616" s="2390"/>
      <c r="AL616" s="2390"/>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589</v>
      </c>
      <c r="AP618" s="669">
        <v>0</v>
      </c>
      <c r="AT618" s="549" t="s">
        <v>589</v>
      </c>
      <c r="AU618" s="669">
        <v>0</v>
      </c>
    </row>
    <row r="619" spans="1:53" s="549" customFormat="1" ht="12.75" customHeight="1">
      <c r="B619" s="536"/>
      <c r="C619" s="929"/>
      <c r="D619" s="536" t="s">
        <v>1390</v>
      </c>
      <c r="E619" s="932"/>
      <c r="F619" s="932"/>
      <c r="G619" s="932"/>
      <c r="H619" s="2391" t="s">
        <v>589</v>
      </c>
      <c r="I619" s="2391"/>
      <c r="J619" s="932"/>
      <c r="K619" s="932"/>
      <c r="L619" s="932"/>
      <c r="N619" s="22"/>
      <c r="O619" s="22"/>
      <c r="P619" s="22"/>
      <c r="Q619" s="1145" t="s">
        <v>2128</v>
      </c>
      <c r="R619" s="2536"/>
      <c r="S619" s="2536"/>
      <c r="T619" s="2536"/>
      <c r="U619" s="2536"/>
      <c r="V619" s="2536"/>
      <c r="W619" s="2536"/>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7" t="str">
        <f>IF(AND(H619="(i)",NOT(AP595)),AO612,IF(AND(H619="(iv)",OR(R619=AO608,R619=AO607),NOT(AP596)),AO613,""))</f>
        <v/>
      </c>
      <c r="Z620" s="2537"/>
      <c r="AA620" s="2537"/>
      <c r="AB620" s="2537"/>
      <c r="AC620" s="2537"/>
      <c r="AD620" s="2537"/>
      <c r="AE620" s="2537"/>
      <c r="AF620" s="2537"/>
      <c r="AG620" s="2537"/>
      <c r="AH620" s="2537"/>
      <c r="AI620" s="2537"/>
      <c r="AJ620" s="2537"/>
      <c r="AK620" s="2537"/>
      <c r="AL620" s="2537"/>
      <c r="AM620" s="2538"/>
      <c r="AN620" s="595"/>
      <c r="AO620" s="609" t="s">
        <v>507</v>
      </c>
      <c r="AP620" s="549">
        <v>2</v>
      </c>
      <c r="AT620" s="609" t="s">
        <v>507</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7"/>
      <c r="Z621" s="2537"/>
      <c r="AA621" s="2537"/>
      <c r="AB621" s="2537"/>
      <c r="AC621" s="2537"/>
      <c r="AD621" s="2537"/>
      <c r="AE621" s="2537"/>
      <c r="AF621" s="2537"/>
      <c r="AG621" s="2537"/>
      <c r="AH621" s="2537"/>
      <c r="AI621" s="2537"/>
      <c r="AJ621" s="2537"/>
      <c r="AK621" s="2537"/>
      <c r="AL621" s="2537"/>
      <c r="AM621" s="2538"/>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589</v>
      </c>
      <c r="AP626" s="669">
        <v>0</v>
      </c>
    </row>
    <row r="627" spans="1:42" s="549" customFormat="1" ht="12.75" customHeight="1">
      <c r="B627" s="536"/>
      <c r="C627" s="929"/>
      <c r="D627" s="536"/>
      <c r="E627" s="536" t="s">
        <v>1390</v>
      </c>
      <c r="F627" s="932"/>
      <c r="G627" s="932"/>
      <c r="I627" s="2534" t="s">
        <v>589</v>
      </c>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2534"/>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397" t="s">
        <v>589</v>
      </c>
      <c r="C629" s="2397"/>
      <c r="D629" s="640"/>
      <c r="E629" s="2389" t="s">
        <v>1393</v>
      </c>
      <c r="F629" s="2389"/>
      <c r="G629" s="2389"/>
      <c r="H629" s="2389"/>
      <c r="I629" s="2389"/>
      <c r="J629" s="2389"/>
      <c r="K629" s="2389"/>
      <c r="L629" s="2389"/>
      <c r="M629" s="2389"/>
      <c r="N629" s="2389"/>
      <c r="O629" s="2389"/>
      <c r="P629" s="2389"/>
      <c r="Q629" s="2389"/>
      <c r="R629" s="2389"/>
      <c r="S629" s="2389"/>
      <c r="T629" s="2389"/>
      <c r="U629" s="2389"/>
      <c r="V629" s="2389"/>
      <c r="W629" s="2389"/>
      <c r="X629" s="2389"/>
      <c r="Y629" s="2389"/>
      <c r="Z629" s="2389"/>
      <c r="AA629" s="2389"/>
      <c r="AB629" s="2389"/>
      <c r="AC629" s="2389"/>
      <c r="AD629" s="2389"/>
      <c r="AE629" s="2389"/>
      <c r="AF629" s="2389"/>
      <c r="AG629" s="2389"/>
      <c r="AH629" s="640"/>
      <c r="AI629" s="640"/>
      <c r="AJ629" s="640"/>
      <c r="AK629" s="640"/>
      <c r="AL629" s="640"/>
      <c r="AN629" s="595"/>
    </row>
    <row r="630" spans="1:42" s="549" customFormat="1" ht="12.75" customHeight="1">
      <c r="B630" s="536"/>
      <c r="C630" s="929"/>
      <c r="D630" s="640"/>
      <c r="E630" s="2389"/>
      <c r="F630" s="2389"/>
      <c r="G630" s="2389"/>
      <c r="H630" s="2389"/>
      <c r="I630" s="2389"/>
      <c r="J630" s="2389"/>
      <c r="K630" s="2389"/>
      <c r="L630" s="2389"/>
      <c r="M630" s="2389"/>
      <c r="N630" s="2389"/>
      <c r="O630" s="2389"/>
      <c r="P630" s="2389"/>
      <c r="Q630" s="2389"/>
      <c r="R630" s="2389"/>
      <c r="S630" s="2389"/>
      <c r="T630" s="2389"/>
      <c r="U630" s="2389"/>
      <c r="V630" s="2389"/>
      <c r="W630" s="2389"/>
      <c r="X630" s="2389"/>
      <c r="Y630" s="2389"/>
      <c r="Z630" s="2389"/>
      <c r="AA630" s="2389"/>
      <c r="AB630" s="2389"/>
      <c r="AC630" s="2389"/>
      <c r="AD630" s="2389"/>
      <c r="AE630" s="2389"/>
      <c r="AF630" s="2389"/>
      <c r="AG630" s="2389"/>
      <c r="AH630" s="640"/>
      <c r="AI630" s="640"/>
      <c r="AJ630" s="640"/>
      <c r="AK630" s="640"/>
      <c r="AL630" s="640"/>
      <c r="AN630" s="595"/>
    </row>
    <row r="631" spans="1:42" s="549" customFormat="1" ht="12.75" customHeight="1">
      <c r="B631" s="536"/>
      <c r="C631" s="929"/>
      <c r="D631" s="640"/>
      <c r="E631" s="2389"/>
      <c r="F631" s="2389"/>
      <c r="G631" s="2389"/>
      <c r="H631" s="2389"/>
      <c r="I631" s="2389"/>
      <c r="J631" s="2389"/>
      <c r="K631" s="2389"/>
      <c r="L631" s="2389"/>
      <c r="M631" s="2389"/>
      <c r="N631" s="2389"/>
      <c r="O631" s="2389"/>
      <c r="P631" s="2389"/>
      <c r="Q631" s="2389"/>
      <c r="R631" s="2389"/>
      <c r="S631" s="2389"/>
      <c r="T631" s="2389"/>
      <c r="U631" s="2389"/>
      <c r="V631" s="2389"/>
      <c r="W631" s="2389"/>
      <c r="X631" s="2389"/>
      <c r="Y631" s="2389"/>
      <c r="Z631" s="2389"/>
      <c r="AA631" s="2389"/>
      <c r="AB631" s="2389"/>
      <c r="AC631" s="2389"/>
      <c r="AD631" s="2389"/>
      <c r="AE631" s="2389"/>
      <c r="AF631" s="2389"/>
      <c r="AG631" s="2389"/>
      <c r="AH631" s="640"/>
      <c r="AI631" s="640"/>
      <c r="AJ631" s="640"/>
      <c r="AK631" s="640"/>
      <c r="AL631" s="640"/>
      <c r="AN631" s="595"/>
    </row>
    <row r="632" spans="1:42" s="549" customFormat="1" ht="12.75" customHeight="1">
      <c r="B632" s="536"/>
      <c r="C632" s="929"/>
      <c r="D632" s="640"/>
      <c r="E632" s="2389"/>
      <c r="F632" s="2389"/>
      <c r="G632" s="2389"/>
      <c r="H632" s="2389"/>
      <c r="I632" s="2389"/>
      <c r="J632" s="2389"/>
      <c r="K632" s="2389"/>
      <c r="L632" s="2389"/>
      <c r="M632" s="2389"/>
      <c r="N632" s="2389"/>
      <c r="O632" s="2389"/>
      <c r="P632" s="2389"/>
      <c r="Q632" s="2389"/>
      <c r="R632" s="2389"/>
      <c r="S632" s="2389"/>
      <c r="T632" s="2389"/>
      <c r="U632" s="2389"/>
      <c r="V632" s="2389"/>
      <c r="W632" s="2389"/>
      <c r="X632" s="2389"/>
      <c r="Y632" s="2389"/>
      <c r="Z632" s="2389"/>
      <c r="AA632" s="2389"/>
      <c r="AB632" s="2389"/>
      <c r="AC632" s="2389"/>
      <c r="AD632" s="2389"/>
      <c r="AE632" s="2389"/>
      <c r="AF632" s="2389"/>
      <c r="AG632" s="238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392">
        <f>VLOOKUP($H$619,$AO$599:$AP$604,2,FALSE)+IF(R619=AO607,0,VLOOKUP($I$627,$AO$626:$AP$628,2,FALSE))</f>
        <v>0</v>
      </c>
      <c r="AK634" s="239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3" t="s">
        <v>1681</v>
      </c>
      <c r="F638" s="2533"/>
      <c r="G638" s="2533"/>
      <c r="H638" s="2533"/>
      <c r="I638" s="2533"/>
      <c r="J638" s="2533"/>
      <c r="K638" s="2533"/>
      <c r="L638" s="2533"/>
      <c r="M638" s="2533"/>
      <c r="N638" s="2533"/>
      <c r="O638" s="2533"/>
      <c r="P638" s="2533"/>
      <c r="Q638" s="2533"/>
      <c r="R638" s="2533"/>
      <c r="S638" s="2533"/>
      <c r="T638" s="2533"/>
      <c r="U638" s="2533"/>
      <c r="V638" s="2533"/>
      <c r="W638" s="2533"/>
      <c r="X638" s="2533"/>
      <c r="Y638" s="2533"/>
      <c r="Z638" s="2533"/>
      <c r="AA638" s="2533"/>
      <c r="AB638" s="2533"/>
      <c r="AC638" s="2533"/>
      <c r="AD638" s="2533"/>
      <c r="AE638" s="539"/>
      <c r="AF638" s="2390" t="s">
        <v>1344</v>
      </c>
      <c r="AG638" s="2390"/>
      <c r="AH638" s="2390"/>
      <c r="AI638" s="2390"/>
      <c r="AJ638" s="2390"/>
      <c r="AK638" s="2390"/>
      <c r="AL638" s="2390"/>
      <c r="AM638" s="549"/>
      <c r="AN638" s="674"/>
    </row>
    <row r="639" spans="1:42" s="549" customFormat="1" ht="12.75" customHeight="1">
      <c r="A639" s="675"/>
      <c r="B639" s="536"/>
      <c r="C639" s="929"/>
      <c r="D639" s="659"/>
      <c r="E639" s="2533"/>
      <c r="F639" s="2533"/>
      <c r="G639" s="2533"/>
      <c r="H639" s="2533"/>
      <c r="I639" s="2533"/>
      <c r="J639" s="2533"/>
      <c r="K639" s="2533"/>
      <c r="L639" s="2533"/>
      <c r="M639" s="2533"/>
      <c r="N639" s="2533"/>
      <c r="O639" s="2533"/>
      <c r="P639" s="2533"/>
      <c r="Q639" s="2533"/>
      <c r="R639" s="2533"/>
      <c r="S639" s="2533"/>
      <c r="T639" s="2533"/>
      <c r="U639" s="2533"/>
      <c r="V639" s="2533"/>
      <c r="W639" s="2533"/>
      <c r="X639" s="2533"/>
      <c r="Y639" s="2533"/>
      <c r="Z639" s="2533"/>
      <c r="AA639" s="2533"/>
      <c r="AB639" s="2533"/>
      <c r="AC639" s="2533"/>
      <c r="AD639" s="2533"/>
      <c r="AE639" s="536"/>
      <c r="AF639" s="536"/>
      <c r="AG639" s="536"/>
      <c r="AH639" s="536"/>
      <c r="AI639" s="536"/>
      <c r="AJ639" s="536"/>
      <c r="AK639" s="536"/>
      <c r="AL639" s="536"/>
      <c r="AN639" s="595"/>
    </row>
    <row r="640" spans="1:42" s="549" customFormat="1" ht="12.75" customHeight="1">
      <c r="B640" s="536"/>
      <c r="C640" s="927"/>
      <c r="D640" s="659"/>
      <c r="E640" s="2533"/>
      <c r="F640" s="2533"/>
      <c r="G640" s="2533"/>
      <c r="H640" s="2533"/>
      <c r="I640" s="2533"/>
      <c r="J640" s="2533"/>
      <c r="K640" s="2533"/>
      <c r="L640" s="2533"/>
      <c r="M640" s="2533"/>
      <c r="N640" s="2533"/>
      <c r="O640" s="2533"/>
      <c r="P640" s="2533"/>
      <c r="Q640" s="2533"/>
      <c r="R640" s="2533"/>
      <c r="S640" s="2533"/>
      <c r="T640" s="2533"/>
      <c r="U640" s="2533"/>
      <c r="V640" s="2533"/>
      <c r="W640" s="2533"/>
      <c r="X640" s="2533"/>
      <c r="Y640" s="2533"/>
      <c r="Z640" s="2533"/>
      <c r="AA640" s="2533"/>
      <c r="AB640" s="2533"/>
      <c r="AC640" s="2533"/>
      <c r="AD640" s="2533"/>
      <c r="AE640" s="536"/>
      <c r="AF640" s="536"/>
      <c r="AG640" s="536"/>
      <c r="AH640" s="536"/>
      <c r="AI640" s="536"/>
      <c r="AJ640" s="536"/>
      <c r="AK640" s="536"/>
      <c r="AL640" s="536"/>
      <c r="AN640" s="595"/>
    </row>
    <row r="641" spans="1:42" s="549" customFormat="1" ht="12.75" customHeight="1">
      <c r="B641" s="536"/>
      <c r="C641" s="927"/>
      <c r="D641" s="659"/>
      <c r="E641" s="2533"/>
      <c r="F641" s="2533"/>
      <c r="G641" s="2533"/>
      <c r="H641" s="2533"/>
      <c r="I641" s="2533"/>
      <c r="J641" s="2533"/>
      <c r="K641" s="2533"/>
      <c r="L641" s="2533"/>
      <c r="M641" s="2533"/>
      <c r="N641" s="2533"/>
      <c r="O641" s="2533"/>
      <c r="P641" s="2533"/>
      <c r="Q641" s="2533"/>
      <c r="R641" s="2533"/>
      <c r="S641" s="2533"/>
      <c r="T641" s="2533"/>
      <c r="U641" s="2533"/>
      <c r="V641" s="2533"/>
      <c r="W641" s="2533"/>
      <c r="X641" s="2533"/>
      <c r="Y641" s="2533"/>
      <c r="Z641" s="2533"/>
      <c r="AA641" s="2533"/>
      <c r="AB641" s="2533"/>
      <c r="AC641" s="2533"/>
      <c r="AD641" s="2533"/>
      <c r="AE641" s="536"/>
      <c r="AF641" s="536"/>
      <c r="AG641" s="536"/>
      <c r="AH641" s="536"/>
      <c r="AI641" s="536"/>
      <c r="AJ641" s="536"/>
      <c r="AK641" s="536"/>
      <c r="AL641" s="536"/>
      <c r="AN641" s="595"/>
    </row>
    <row r="642" spans="1:42" s="549" customFormat="1" ht="12.75" customHeight="1">
      <c r="B642" s="536"/>
      <c r="C642" s="927"/>
      <c r="D642" s="659"/>
      <c r="E642" s="2533"/>
      <c r="F642" s="2533"/>
      <c r="G642" s="2533"/>
      <c r="H642" s="2533"/>
      <c r="I642" s="2533"/>
      <c r="J642" s="2533"/>
      <c r="K642" s="2533"/>
      <c r="L642" s="2533"/>
      <c r="M642" s="2533"/>
      <c r="N642" s="2533"/>
      <c r="O642" s="2533"/>
      <c r="P642" s="2533"/>
      <c r="Q642" s="2533"/>
      <c r="R642" s="2533"/>
      <c r="S642" s="2533"/>
      <c r="T642" s="2533"/>
      <c r="U642" s="2533"/>
      <c r="V642" s="2533"/>
      <c r="W642" s="2533"/>
      <c r="X642" s="2533"/>
      <c r="Y642" s="2533"/>
      <c r="Z642" s="2533"/>
      <c r="AA642" s="2533"/>
      <c r="AB642" s="2533"/>
      <c r="AC642" s="2533"/>
      <c r="AD642" s="2533"/>
      <c r="AE642" s="536"/>
      <c r="AF642" s="536"/>
      <c r="AG642" s="536"/>
      <c r="AH642" s="536"/>
      <c r="AI642" s="536"/>
      <c r="AJ642" s="536"/>
      <c r="AK642" s="536"/>
      <c r="AL642" s="536"/>
      <c r="AN642" s="595"/>
    </row>
    <row r="643" spans="1:42" s="549" customFormat="1" ht="12.75" customHeight="1">
      <c r="B643" s="536"/>
      <c r="C643" s="927"/>
      <c r="D643" s="659"/>
      <c r="E643" s="2533"/>
      <c r="F643" s="2533"/>
      <c r="G643" s="2533"/>
      <c r="H643" s="2533"/>
      <c r="I643" s="2533"/>
      <c r="J643" s="2533"/>
      <c r="K643" s="2533"/>
      <c r="L643" s="2533"/>
      <c r="M643" s="2533"/>
      <c r="N643" s="2533"/>
      <c r="O643" s="2533"/>
      <c r="P643" s="2533"/>
      <c r="Q643" s="2533"/>
      <c r="R643" s="2533"/>
      <c r="S643" s="2533"/>
      <c r="T643" s="2533"/>
      <c r="U643" s="2533"/>
      <c r="V643" s="2533"/>
      <c r="W643" s="2533"/>
      <c r="X643" s="2533"/>
      <c r="Y643" s="2533"/>
      <c r="Z643" s="2533"/>
      <c r="AA643" s="2533"/>
      <c r="AB643" s="2533"/>
      <c r="AC643" s="2533"/>
      <c r="AD643" s="2533"/>
      <c r="AE643" s="536"/>
      <c r="AF643" s="536"/>
      <c r="AG643" s="536"/>
      <c r="AH643" s="536"/>
      <c r="AI643" s="536"/>
      <c r="AJ643" s="536"/>
      <c r="AK643" s="536"/>
      <c r="AL643" s="536"/>
      <c r="AN643" s="595"/>
    </row>
    <row r="644" spans="1:42" s="549" customFormat="1" ht="12.75" customHeight="1">
      <c r="A644" s="635"/>
      <c r="B644" s="614"/>
      <c r="C644" s="936"/>
      <c r="D644" s="659"/>
      <c r="E644" s="2533"/>
      <c r="F644" s="2533"/>
      <c r="G644" s="2533"/>
      <c r="H644" s="2533"/>
      <c r="I644" s="2533"/>
      <c r="J644" s="2533"/>
      <c r="K644" s="2533"/>
      <c r="L644" s="2533"/>
      <c r="M644" s="2533"/>
      <c r="N644" s="2533"/>
      <c r="O644" s="2533"/>
      <c r="P644" s="2533"/>
      <c r="Q644" s="2533"/>
      <c r="R644" s="2533"/>
      <c r="S644" s="2533"/>
      <c r="T644" s="2533"/>
      <c r="U644" s="2533"/>
      <c r="V644" s="2533"/>
      <c r="W644" s="2533"/>
      <c r="X644" s="2533"/>
      <c r="Y644" s="2533"/>
      <c r="Z644" s="2533"/>
      <c r="AA644" s="2533"/>
      <c r="AB644" s="2533"/>
      <c r="AC644" s="2533"/>
      <c r="AD644" s="2533"/>
      <c r="AE644" s="614"/>
      <c r="AF644" s="614"/>
      <c r="AG644" s="614"/>
      <c r="AH644" s="614"/>
      <c r="AI644" s="614"/>
      <c r="AJ644" s="614"/>
      <c r="AK644" s="536"/>
      <c r="AL644" s="536"/>
      <c r="AN644" s="595"/>
    </row>
    <row r="645" spans="1:42" s="549" customFormat="1" ht="12.75" customHeight="1">
      <c r="B645" s="614"/>
      <c r="C645" s="936"/>
      <c r="D645" s="659"/>
      <c r="E645" s="2533"/>
      <c r="F645" s="2533"/>
      <c r="G645" s="2533"/>
      <c r="H645" s="2533"/>
      <c r="I645" s="2533"/>
      <c r="J645" s="2533"/>
      <c r="K645" s="2533"/>
      <c r="L645" s="2533"/>
      <c r="M645" s="2533"/>
      <c r="N645" s="2533"/>
      <c r="O645" s="2533"/>
      <c r="P645" s="2533"/>
      <c r="Q645" s="2533"/>
      <c r="R645" s="2533"/>
      <c r="S645" s="2533"/>
      <c r="T645" s="2533"/>
      <c r="U645" s="2533"/>
      <c r="V645" s="2533"/>
      <c r="W645" s="2533"/>
      <c r="X645" s="2533"/>
      <c r="Y645" s="2533"/>
      <c r="Z645" s="2533"/>
      <c r="AA645" s="2533"/>
      <c r="AB645" s="2533"/>
      <c r="AC645" s="2533"/>
      <c r="AD645" s="2533"/>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589</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397" t="s">
        <v>589</v>
      </c>
      <c r="Y647" s="2397"/>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507</v>
      </c>
      <c r="AP648" s="676">
        <v>4</v>
      </c>
    </row>
    <row r="649" spans="1:42" s="549" customFormat="1" ht="12.75" customHeight="1">
      <c r="B649" s="536"/>
      <c r="C649" s="927"/>
      <c r="D649" s="659" t="s">
        <v>507</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0" t="s">
        <v>1398</v>
      </c>
      <c r="AG649" s="2390"/>
      <c r="AH649" s="2390"/>
      <c r="AI649" s="2390"/>
      <c r="AJ649" s="2390"/>
      <c r="AK649" s="2390"/>
      <c r="AL649" s="2390"/>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391" t="s">
        <v>685</v>
      </c>
      <c r="I651" s="239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392">
        <f>VLOOKUP($H$651,$AO$618:$AP$620,2,FALSE)</f>
        <v>3</v>
      </c>
      <c r="AK653" s="2393"/>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389" t="s">
        <v>2050</v>
      </c>
      <c r="F657" s="2389"/>
      <c r="G657" s="2389"/>
      <c r="H657" s="2389"/>
      <c r="I657" s="2389"/>
      <c r="J657" s="2389"/>
      <c r="K657" s="2389"/>
      <c r="L657" s="2389"/>
      <c r="M657" s="2389"/>
      <c r="N657" s="2389"/>
      <c r="O657" s="2389"/>
      <c r="P657" s="2389"/>
      <c r="Q657" s="2389"/>
      <c r="R657" s="2389"/>
      <c r="S657" s="2389"/>
      <c r="T657" s="2389"/>
      <c r="U657" s="2389"/>
      <c r="V657" s="2389"/>
      <c r="W657" s="2389"/>
      <c r="X657" s="2389"/>
      <c r="Y657" s="2389"/>
      <c r="Z657" s="2389"/>
      <c r="AA657" s="2389"/>
      <c r="AB657" s="2389"/>
      <c r="AC657" s="2389"/>
      <c r="AD657" s="2389"/>
      <c r="AE657" s="536"/>
      <c r="AF657" s="2390" t="s">
        <v>1344</v>
      </c>
      <c r="AG657" s="2390"/>
      <c r="AH657" s="2390"/>
      <c r="AI657" s="2390"/>
      <c r="AJ657" s="2390"/>
      <c r="AK657" s="2390"/>
      <c r="AL657" s="2390"/>
      <c r="AN657" s="595"/>
    </row>
    <row r="658" spans="1:42" s="549" customFormat="1" ht="12.75" customHeight="1">
      <c r="B658" s="536"/>
      <c r="C658" s="536"/>
      <c r="D658" s="659"/>
      <c r="E658" s="2389"/>
      <c r="F658" s="2389"/>
      <c r="G658" s="2389"/>
      <c r="H658" s="2389"/>
      <c r="I658" s="2389"/>
      <c r="J658" s="2389"/>
      <c r="K658" s="2389"/>
      <c r="L658" s="2389"/>
      <c r="M658" s="2389"/>
      <c r="N658" s="2389"/>
      <c r="O658" s="2389"/>
      <c r="P658" s="2389"/>
      <c r="Q658" s="2389"/>
      <c r="R658" s="2389"/>
      <c r="S658" s="2389"/>
      <c r="T658" s="2389"/>
      <c r="U658" s="2389"/>
      <c r="V658" s="2389"/>
      <c r="W658" s="2389"/>
      <c r="X658" s="2389"/>
      <c r="Y658" s="2389"/>
      <c r="Z658" s="2389"/>
      <c r="AA658" s="2389"/>
      <c r="AB658" s="2389"/>
      <c r="AC658" s="2389"/>
      <c r="AD658" s="238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507</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0" t="s">
        <v>1398</v>
      </c>
      <c r="AG660" s="2390"/>
      <c r="AH660" s="2390"/>
      <c r="AI660" s="2390"/>
      <c r="AJ660" s="2390"/>
      <c r="AK660" s="2390"/>
      <c r="AL660" s="2390"/>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391" t="s">
        <v>589</v>
      </c>
      <c r="I663" s="239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392">
        <f>VLOOKUP(H663,AT618:AU620,2,FALSE)</f>
        <v>0</v>
      </c>
      <c r="AK665" s="239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389" t="s">
        <v>1408</v>
      </c>
      <c r="F670" s="2389"/>
      <c r="G670" s="2389"/>
      <c r="H670" s="2389"/>
      <c r="I670" s="2389"/>
      <c r="J670" s="2389"/>
      <c r="K670" s="2389"/>
      <c r="L670" s="2389"/>
      <c r="M670" s="2389"/>
      <c r="N670" s="2389"/>
      <c r="O670" s="2389"/>
      <c r="P670" s="2389"/>
      <c r="Q670" s="2389"/>
      <c r="R670" s="2389"/>
      <c r="S670" s="2389"/>
      <c r="T670" s="2389"/>
      <c r="U670" s="2389"/>
      <c r="V670" s="2389"/>
      <c r="W670" s="2389"/>
      <c r="X670" s="2389"/>
      <c r="Y670" s="2389"/>
      <c r="Z670" s="2389"/>
      <c r="AA670" s="2389"/>
      <c r="AB670" s="2389"/>
      <c r="AC670" s="2389"/>
      <c r="AD670" s="536"/>
      <c r="AE670" s="536"/>
      <c r="AF670" s="2390" t="s">
        <v>1369</v>
      </c>
      <c r="AG670" s="2390"/>
      <c r="AH670" s="2390"/>
      <c r="AI670" s="2390"/>
      <c r="AJ670" s="2390"/>
      <c r="AK670" s="2390"/>
      <c r="AL670" s="2390"/>
      <c r="AN670" s="595"/>
    </row>
    <row r="671" spans="1:42" s="549" customFormat="1" ht="12.75" customHeight="1">
      <c r="B671" s="536"/>
      <c r="C671" s="539"/>
      <c r="D671" s="536"/>
      <c r="E671" s="2389"/>
      <c r="F671" s="2389"/>
      <c r="G671" s="2389"/>
      <c r="H671" s="2389"/>
      <c r="I671" s="2389"/>
      <c r="J671" s="2389"/>
      <c r="K671" s="2389"/>
      <c r="L671" s="2389"/>
      <c r="M671" s="2389"/>
      <c r="N671" s="2389"/>
      <c r="O671" s="2389"/>
      <c r="P671" s="2389"/>
      <c r="Q671" s="2389"/>
      <c r="R671" s="2389"/>
      <c r="S671" s="2389"/>
      <c r="T671" s="2389"/>
      <c r="U671" s="2389"/>
      <c r="V671" s="2389"/>
      <c r="W671" s="2389"/>
      <c r="X671" s="2389"/>
      <c r="Y671" s="2389"/>
      <c r="Z671" s="2389"/>
      <c r="AA671" s="2389"/>
      <c r="AB671" s="2389"/>
      <c r="AC671" s="2389"/>
      <c r="AD671" s="536"/>
      <c r="AE671" s="536"/>
      <c r="AF671" s="536"/>
      <c r="AG671" s="536"/>
      <c r="AH671" s="536"/>
      <c r="AI671" s="536"/>
      <c r="AJ671" s="536"/>
      <c r="AK671" s="536"/>
      <c r="AL671" s="536"/>
      <c r="AN671" s="595"/>
    </row>
    <row r="672" spans="1:42" s="549" customFormat="1" ht="12.75" customHeight="1">
      <c r="B672" s="536"/>
      <c r="C672" s="539"/>
      <c r="D672" s="659"/>
      <c r="E672" s="2389"/>
      <c r="F672" s="2389"/>
      <c r="G672" s="2389"/>
      <c r="H672" s="2389"/>
      <c r="I672" s="2389"/>
      <c r="J672" s="2389"/>
      <c r="K672" s="2389"/>
      <c r="L672" s="2389"/>
      <c r="M672" s="2389"/>
      <c r="N672" s="2389"/>
      <c r="O672" s="2389"/>
      <c r="P672" s="2389"/>
      <c r="Q672" s="2389"/>
      <c r="R672" s="2389"/>
      <c r="S672" s="2389"/>
      <c r="T672" s="2389"/>
      <c r="U672" s="2389"/>
      <c r="V672" s="2389"/>
      <c r="W672" s="2389"/>
      <c r="X672" s="2389"/>
      <c r="Y672" s="2389"/>
      <c r="Z672" s="2389"/>
      <c r="AA672" s="2389"/>
      <c r="AB672" s="2389"/>
      <c r="AC672" s="238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507</v>
      </c>
      <c r="E674" s="2389" t="s">
        <v>1409</v>
      </c>
      <c r="F674" s="2389"/>
      <c r="G674" s="2389"/>
      <c r="H674" s="2389"/>
      <c r="I674" s="2389"/>
      <c r="J674" s="2389"/>
      <c r="K674" s="2389"/>
      <c r="L674" s="2389"/>
      <c r="M674" s="2389"/>
      <c r="N674" s="2389"/>
      <c r="O674" s="2389"/>
      <c r="P674" s="2389"/>
      <c r="Q674" s="2389"/>
      <c r="R674" s="2389"/>
      <c r="S674" s="2389"/>
      <c r="T674" s="2389"/>
      <c r="U674" s="2389"/>
      <c r="V674" s="2389"/>
      <c r="W674" s="2389"/>
      <c r="X674" s="2389"/>
      <c r="Y674" s="2389"/>
      <c r="Z674" s="2389"/>
      <c r="AA674" s="2389"/>
      <c r="AB674" s="2389"/>
      <c r="AC674" s="2389"/>
      <c r="AD674" s="536"/>
      <c r="AE674" s="536"/>
      <c r="AF674" s="2390" t="s">
        <v>1389</v>
      </c>
      <c r="AG674" s="2390"/>
      <c r="AH674" s="2390"/>
      <c r="AI674" s="2390"/>
      <c r="AJ674" s="2390"/>
      <c r="AK674" s="2390"/>
      <c r="AL674" s="2390"/>
      <c r="AN674" s="595"/>
    </row>
    <row r="675" spans="1:42" s="549" customFormat="1" ht="12.75" customHeight="1">
      <c r="B675" s="536"/>
      <c r="C675" s="539"/>
      <c r="D675" s="536"/>
      <c r="E675" s="2389"/>
      <c r="F675" s="2389"/>
      <c r="G675" s="2389"/>
      <c r="H675" s="2389"/>
      <c r="I675" s="2389"/>
      <c r="J675" s="2389"/>
      <c r="K675" s="2389"/>
      <c r="L675" s="2389"/>
      <c r="M675" s="2389"/>
      <c r="N675" s="2389"/>
      <c r="O675" s="2389"/>
      <c r="P675" s="2389"/>
      <c r="Q675" s="2389"/>
      <c r="R675" s="2389"/>
      <c r="S675" s="2389"/>
      <c r="T675" s="2389"/>
      <c r="U675" s="2389"/>
      <c r="V675" s="2389"/>
      <c r="W675" s="2389"/>
      <c r="X675" s="2389"/>
      <c r="Y675" s="2389"/>
      <c r="Z675" s="2389"/>
      <c r="AA675" s="2389"/>
      <c r="AB675" s="2389"/>
      <c r="AC675" s="2389"/>
      <c r="AD675" s="536"/>
      <c r="AE675" s="536"/>
      <c r="AF675" s="536"/>
      <c r="AG675" s="536"/>
      <c r="AH675" s="536"/>
      <c r="AI675" s="536"/>
      <c r="AJ675" s="536"/>
      <c r="AK675" s="536"/>
      <c r="AL675" s="536"/>
      <c r="AN675" s="595"/>
    </row>
    <row r="676" spans="1:42" s="549" customFormat="1" ht="15" customHeight="1">
      <c r="B676" s="536"/>
      <c r="C676" s="539"/>
      <c r="D676" s="659"/>
      <c r="E676" s="2389"/>
      <c r="F676" s="2389"/>
      <c r="G676" s="2389"/>
      <c r="H676" s="2389"/>
      <c r="I676" s="2389"/>
      <c r="J676" s="2389"/>
      <c r="K676" s="2389"/>
      <c r="L676" s="2389"/>
      <c r="M676" s="2389"/>
      <c r="N676" s="2389"/>
      <c r="O676" s="2389"/>
      <c r="P676" s="2389"/>
      <c r="Q676" s="2389"/>
      <c r="R676" s="2389"/>
      <c r="S676" s="2389"/>
      <c r="T676" s="2389"/>
      <c r="U676" s="2389"/>
      <c r="V676" s="2389"/>
      <c r="W676" s="2389"/>
      <c r="X676" s="2389"/>
      <c r="Y676" s="2389"/>
      <c r="Z676" s="2389"/>
      <c r="AA676" s="2389"/>
      <c r="AB676" s="2389"/>
      <c r="AC676" s="238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9" t="s">
        <v>1410</v>
      </c>
      <c r="F678" s="2389"/>
      <c r="G678" s="2389"/>
      <c r="H678" s="2389"/>
      <c r="I678" s="2389"/>
      <c r="J678" s="2389"/>
      <c r="K678" s="2389"/>
      <c r="L678" s="2389"/>
      <c r="M678" s="2389"/>
      <c r="N678" s="2389"/>
      <c r="O678" s="2389"/>
      <c r="P678" s="2389"/>
      <c r="Q678" s="2389"/>
      <c r="R678" s="2389"/>
      <c r="S678" s="2389"/>
      <c r="T678" s="2389"/>
      <c r="U678" s="2389"/>
      <c r="V678" s="2389"/>
      <c r="W678" s="2389"/>
      <c r="X678" s="2389"/>
      <c r="Y678" s="2389"/>
      <c r="Z678" s="2389"/>
      <c r="AA678" s="2389"/>
      <c r="AB678" s="2389"/>
      <c r="AC678" s="2389"/>
      <c r="AD678" s="536"/>
      <c r="AE678" s="536"/>
      <c r="AF678" s="2390" t="s">
        <v>1344</v>
      </c>
      <c r="AG678" s="2390"/>
      <c r="AH678" s="2390"/>
      <c r="AI678" s="2390"/>
      <c r="AJ678" s="2390"/>
      <c r="AK678" s="2390"/>
      <c r="AL678" s="2390"/>
      <c r="AN678" s="595"/>
    </row>
    <row r="679" spans="1:42" s="549" customFormat="1" ht="12.75" customHeight="1">
      <c r="B679" s="536"/>
      <c r="C679" s="927"/>
      <c r="D679" s="536"/>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536"/>
      <c r="AE679" s="2390"/>
      <c r="AF679" s="2390"/>
      <c r="AG679" s="2390"/>
      <c r="AH679" s="2390"/>
      <c r="AI679" s="2390"/>
      <c r="AJ679" s="2390"/>
      <c r="AK679" s="2390"/>
      <c r="AL679" s="592"/>
      <c r="AN679" s="595"/>
      <c r="AO679" s="549" t="s">
        <v>589</v>
      </c>
      <c r="AP679" s="669">
        <v>0</v>
      </c>
    </row>
    <row r="680" spans="1:42" s="549" customFormat="1" ht="12.75" customHeight="1">
      <c r="A680" s="675"/>
      <c r="B680" s="536"/>
      <c r="C680" s="536"/>
      <c r="D680" s="65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507</v>
      </c>
      <c r="AP681" s="549">
        <v>2</v>
      </c>
    </row>
    <row r="682" spans="1:42" s="549" customFormat="1" ht="12.75" customHeight="1">
      <c r="A682" s="666"/>
      <c r="B682" s="536"/>
      <c r="C682" s="943"/>
      <c r="D682" s="659" t="s">
        <v>1387</v>
      </c>
      <c r="E682" s="2389" t="s">
        <v>1411</v>
      </c>
      <c r="F682" s="2389"/>
      <c r="G682" s="2389"/>
      <c r="H682" s="2389"/>
      <c r="I682" s="2389"/>
      <c r="J682" s="2389"/>
      <c r="K682" s="2389"/>
      <c r="L682" s="2389"/>
      <c r="M682" s="2389"/>
      <c r="N682" s="2389"/>
      <c r="O682" s="2389"/>
      <c r="P682" s="2389"/>
      <c r="Q682" s="2389"/>
      <c r="R682" s="2389"/>
      <c r="S682" s="2389"/>
      <c r="T682" s="2389"/>
      <c r="U682" s="2389"/>
      <c r="V682" s="2389"/>
      <c r="W682" s="2389"/>
      <c r="X682" s="2389"/>
      <c r="Y682" s="2389"/>
      <c r="Z682" s="2389"/>
      <c r="AA682" s="2389"/>
      <c r="AB682" s="2389"/>
      <c r="AC682" s="2389"/>
      <c r="AD682" s="536"/>
      <c r="AE682" s="536"/>
      <c r="AF682" s="2390" t="s">
        <v>1389</v>
      </c>
      <c r="AG682" s="2390"/>
      <c r="AH682" s="2390"/>
      <c r="AI682" s="2390"/>
      <c r="AJ682" s="2390"/>
      <c r="AK682" s="2390"/>
      <c r="AL682" s="2390"/>
      <c r="AN682" s="595"/>
    </row>
    <row r="683" spans="1:42" s="549" customFormat="1" ht="12.75" customHeight="1">
      <c r="A683" s="666"/>
      <c r="B683" s="536"/>
      <c r="C683" s="943"/>
      <c r="D683" s="659"/>
      <c r="E683" s="2389"/>
      <c r="F683" s="2389"/>
      <c r="G683" s="2389"/>
      <c r="H683" s="2389"/>
      <c r="I683" s="2389"/>
      <c r="J683" s="2389"/>
      <c r="K683" s="2389"/>
      <c r="L683" s="2389"/>
      <c r="M683" s="2389"/>
      <c r="N683" s="2389"/>
      <c r="O683" s="2389"/>
      <c r="P683" s="2389"/>
      <c r="Q683" s="2389"/>
      <c r="R683" s="2389"/>
      <c r="S683" s="2389"/>
      <c r="T683" s="2389"/>
      <c r="U683" s="2389"/>
      <c r="V683" s="2389"/>
      <c r="W683" s="2389"/>
      <c r="X683" s="2389"/>
      <c r="Y683" s="2389"/>
      <c r="Z683" s="2389"/>
      <c r="AA683" s="2389"/>
      <c r="AB683" s="2389"/>
      <c r="AC683" s="238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9"/>
      <c r="F684" s="2389"/>
      <c r="G684" s="2389"/>
      <c r="H684" s="2389"/>
      <c r="I684" s="2389"/>
      <c r="J684" s="2389"/>
      <c r="K684" s="2389"/>
      <c r="L684" s="2389"/>
      <c r="M684" s="2389"/>
      <c r="N684" s="2389"/>
      <c r="O684" s="2389"/>
      <c r="P684" s="2389"/>
      <c r="Q684" s="2389"/>
      <c r="R684" s="2389"/>
      <c r="S684" s="2389"/>
      <c r="T684" s="2389"/>
      <c r="U684" s="2389"/>
      <c r="V684" s="2389"/>
      <c r="W684" s="2389"/>
      <c r="X684" s="2389"/>
      <c r="Y684" s="2389"/>
      <c r="Z684" s="2389"/>
      <c r="AA684" s="2389"/>
      <c r="AB684" s="2389"/>
      <c r="AC684" s="238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89" t="s">
        <v>1412</v>
      </c>
      <c r="F686" s="2389"/>
      <c r="G686" s="2389"/>
      <c r="H686" s="2389"/>
      <c r="I686" s="2389"/>
      <c r="J686" s="2389"/>
      <c r="K686" s="2389"/>
      <c r="L686" s="2389"/>
      <c r="M686" s="2389"/>
      <c r="N686" s="2389"/>
      <c r="O686" s="2389"/>
      <c r="P686" s="2389"/>
      <c r="Q686" s="2389"/>
      <c r="R686" s="2389"/>
      <c r="S686" s="2389"/>
      <c r="T686" s="2389"/>
      <c r="U686" s="2389"/>
      <c r="V686" s="2389"/>
      <c r="W686" s="2389"/>
      <c r="X686" s="2389"/>
      <c r="Y686" s="2389"/>
      <c r="Z686" s="2389"/>
      <c r="AA686" s="2389"/>
      <c r="AB686" s="2389"/>
      <c r="AC686" s="2389"/>
      <c r="AD686" s="536"/>
      <c r="AE686" s="536"/>
      <c r="AF686" s="2390" t="s">
        <v>1344</v>
      </c>
      <c r="AG686" s="2390"/>
      <c r="AH686" s="2390"/>
      <c r="AI686" s="2390"/>
      <c r="AJ686" s="2390"/>
      <c r="AK686" s="2390"/>
      <c r="AL686" s="2390"/>
      <c r="AM686" s="594"/>
      <c r="AN686" s="595"/>
    </row>
    <row r="687" spans="1:42" s="549" customFormat="1" ht="12.75" customHeight="1">
      <c r="B687" s="536"/>
      <c r="C687" s="927"/>
      <c r="D687" s="659"/>
      <c r="E687" s="2389"/>
      <c r="F687" s="2389"/>
      <c r="G687" s="2389"/>
      <c r="H687" s="2389"/>
      <c r="I687" s="2389"/>
      <c r="J687" s="2389"/>
      <c r="K687" s="2389"/>
      <c r="L687" s="2389"/>
      <c r="M687" s="2389"/>
      <c r="N687" s="2389"/>
      <c r="O687" s="2389"/>
      <c r="P687" s="2389"/>
      <c r="Q687" s="2389"/>
      <c r="R687" s="2389"/>
      <c r="S687" s="2389"/>
      <c r="T687" s="2389"/>
      <c r="U687" s="2389"/>
      <c r="V687" s="2389"/>
      <c r="W687" s="2389"/>
      <c r="X687" s="2389"/>
      <c r="Y687" s="2389"/>
      <c r="Z687" s="2389"/>
      <c r="AA687" s="2389"/>
      <c r="AB687" s="2389"/>
      <c r="AC687" s="2389"/>
      <c r="AD687" s="536"/>
      <c r="AE687" s="536"/>
      <c r="AF687" s="536"/>
      <c r="AG687" s="536"/>
      <c r="AH687" s="536"/>
      <c r="AI687" s="536"/>
      <c r="AJ687" s="536"/>
      <c r="AK687" s="536"/>
      <c r="AL687" s="536"/>
      <c r="AM687" s="594"/>
      <c r="AN687" s="595"/>
    </row>
    <row r="688" spans="1:42" s="549" customFormat="1" ht="12.75" customHeight="1">
      <c r="B688" s="536"/>
      <c r="C688" s="927"/>
      <c r="D688" s="659"/>
      <c r="E688" s="2389"/>
      <c r="F688" s="2389"/>
      <c r="G688" s="2389"/>
      <c r="H688" s="2389"/>
      <c r="I688" s="2389"/>
      <c r="J688" s="2389"/>
      <c r="K688" s="2389"/>
      <c r="L688" s="2389"/>
      <c r="M688" s="2389"/>
      <c r="N688" s="2389"/>
      <c r="O688" s="2389"/>
      <c r="P688" s="2389"/>
      <c r="Q688" s="2389"/>
      <c r="R688" s="2389"/>
      <c r="S688" s="2389"/>
      <c r="T688" s="2389"/>
      <c r="U688" s="2389"/>
      <c r="V688" s="2389"/>
      <c r="W688" s="2389"/>
      <c r="X688" s="2389"/>
      <c r="Y688" s="2389"/>
      <c r="Z688" s="2389"/>
      <c r="AA688" s="2389"/>
      <c r="AB688" s="2389"/>
      <c r="AC688" s="238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89" t="s">
        <v>1413</v>
      </c>
      <c r="F690" s="2389"/>
      <c r="G690" s="2389"/>
      <c r="H690" s="2389"/>
      <c r="I690" s="2389"/>
      <c r="J690" s="2389"/>
      <c r="K690" s="2389"/>
      <c r="L690" s="2389"/>
      <c r="M690" s="2389"/>
      <c r="N690" s="2389"/>
      <c r="O690" s="2389"/>
      <c r="P690" s="2389"/>
      <c r="Q690" s="2389"/>
      <c r="R690" s="2389"/>
      <c r="S690" s="2389"/>
      <c r="T690" s="2389"/>
      <c r="U690" s="2389"/>
      <c r="V690" s="2389"/>
      <c r="W690" s="2389"/>
      <c r="X690" s="2389"/>
      <c r="Y690" s="2389"/>
      <c r="Z690" s="2389"/>
      <c r="AA690" s="2389"/>
      <c r="AB690" s="2389"/>
      <c r="AC690" s="2389"/>
      <c r="AD690" s="536"/>
      <c r="AE690" s="536"/>
      <c r="AF690" s="2390" t="s">
        <v>1398</v>
      </c>
      <c r="AG690" s="2390"/>
      <c r="AH690" s="2390"/>
      <c r="AI690" s="2390"/>
      <c r="AJ690" s="2390"/>
      <c r="AK690" s="2390"/>
      <c r="AL690" s="2390"/>
      <c r="AM690" s="594"/>
      <c r="AN690" s="595"/>
    </row>
    <row r="691" spans="1:50" s="549" customFormat="1" ht="12.75" customHeight="1">
      <c r="A691" s="675"/>
      <c r="B691" s="536"/>
      <c r="C691" s="927"/>
      <c r="D691" s="659"/>
      <c r="E691" s="2389"/>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238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238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589</v>
      </c>
      <c r="AP693" s="635">
        <v>0</v>
      </c>
    </row>
    <row r="694" spans="1:50" s="549" customFormat="1" ht="12.75" customHeight="1">
      <c r="A694" s="675"/>
      <c r="B694" s="536"/>
      <c r="C694" s="927"/>
      <c r="D694" s="659" t="s">
        <v>1401</v>
      </c>
      <c r="E694" s="2389" t="s">
        <v>1414</v>
      </c>
      <c r="F694" s="2389"/>
      <c r="G694" s="2389"/>
      <c r="H694" s="2389"/>
      <c r="I694" s="2389"/>
      <c r="J694" s="2389"/>
      <c r="K694" s="2389"/>
      <c r="L694" s="2389"/>
      <c r="M694" s="2389"/>
      <c r="N694" s="2389"/>
      <c r="O694" s="2389"/>
      <c r="P694" s="2389"/>
      <c r="Q694" s="2389"/>
      <c r="R694" s="2389"/>
      <c r="S694" s="2389"/>
      <c r="T694" s="2389"/>
      <c r="U694" s="2389"/>
      <c r="V694" s="2389"/>
      <c r="W694" s="2389"/>
      <c r="X694" s="2389"/>
      <c r="Y694" s="2389"/>
      <c r="Z694" s="2389"/>
      <c r="AA694" s="2389"/>
      <c r="AB694" s="2389"/>
      <c r="AC694" s="2389"/>
      <c r="AD694" s="536"/>
      <c r="AE694" s="536"/>
      <c r="AF694" s="2390" t="s">
        <v>1415</v>
      </c>
      <c r="AG694" s="2390"/>
      <c r="AH694" s="2390"/>
      <c r="AI694" s="2390"/>
      <c r="AJ694" s="2390"/>
      <c r="AK694" s="2390"/>
      <c r="AL694" s="2390"/>
      <c r="AM694" s="594"/>
      <c r="AN694" s="595"/>
      <c r="AO694" s="609" t="s">
        <v>685</v>
      </c>
      <c r="AP694" s="549">
        <v>3</v>
      </c>
    </row>
    <row r="695" spans="1:50" s="549" customFormat="1" ht="12.75" customHeight="1">
      <c r="A695" s="675"/>
      <c r="B695" s="536"/>
      <c r="C695" s="927"/>
      <c r="D695" s="65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536"/>
      <c r="AE695" s="536"/>
      <c r="AF695" s="592"/>
      <c r="AG695" s="592"/>
      <c r="AH695" s="592"/>
      <c r="AI695" s="592"/>
      <c r="AJ695" s="592"/>
      <c r="AK695" s="592"/>
      <c r="AL695" s="592"/>
      <c r="AM695" s="594"/>
      <c r="AN695" s="595"/>
      <c r="AO695" s="609" t="s">
        <v>507</v>
      </c>
      <c r="AP695" s="549">
        <v>2</v>
      </c>
    </row>
    <row r="696" spans="1:50" s="549" customFormat="1" ht="12.75" customHeight="1">
      <c r="A696" s="675"/>
      <c r="B696" s="536"/>
      <c r="C696" s="927"/>
      <c r="D696" s="659"/>
      <c r="E696" s="2389"/>
      <c r="F696" s="2389"/>
      <c r="G696" s="2389"/>
      <c r="H696" s="2389"/>
      <c r="I696" s="2389"/>
      <c r="J696" s="2389"/>
      <c r="K696" s="2389"/>
      <c r="L696" s="2389"/>
      <c r="M696" s="2389"/>
      <c r="N696" s="2389"/>
      <c r="O696" s="2389"/>
      <c r="P696" s="2389"/>
      <c r="Q696" s="2389"/>
      <c r="R696" s="2389"/>
      <c r="S696" s="2389"/>
      <c r="T696" s="2389"/>
      <c r="U696" s="2389"/>
      <c r="V696" s="2389"/>
      <c r="W696" s="2389"/>
      <c r="X696" s="2389"/>
      <c r="Y696" s="2389"/>
      <c r="Z696" s="2389"/>
      <c r="AA696" s="2389"/>
      <c r="AB696" s="2389"/>
      <c r="AC696" s="238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391" t="s">
        <v>507</v>
      </c>
      <c r="I698" s="239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392">
        <f>VLOOKUP($H$698,$AO$646:$AP$653,2,FALSE)</f>
        <v>4</v>
      </c>
      <c r="AK700" s="239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237</v>
      </c>
    </row>
    <row r="704" spans="1:50" s="549" customFormat="1" ht="12.75" customHeight="1">
      <c r="A704" s="675"/>
      <c r="B704" s="536"/>
      <c r="C704" s="944"/>
      <c r="D704" s="659" t="s">
        <v>685</v>
      </c>
      <c r="E704" s="2395" t="s">
        <v>2141</v>
      </c>
      <c r="F704" s="2395"/>
      <c r="G704" s="2395"/>
      <c r="H704" s="2395"/>
      <c r="I704" s="2395"/>
      <c r="J704" s="2395"/>
      <c r="K704" s="2395"/>
      <c r="L704" s="2395"/>
      <c r="M704" s="2395"/>
      <c r="N704" s="2395"/>
      <c r="O704" s="2395"/>
      <c r="P704" s="2395"/>
      <c r="Q704" s="2395"/>
      <c r="R704" s="2395"/>
      <c r="S704" s="2395"/>
      <c r="T704" s="2395"/>
      <c r="U704" s="2395"/>
      <c r="V704" s="2395"/>
      <c r="W704" s="2395"/>
      <c r="X704" s="2395"/>
      <c r="Y704" s="2395"/>
      <c r="Z704" s="2395"/>
      <c r="AA704" s="2395"/>
      <c r="AB704" s="2395"/>
      <c r="AC704" s="536"/>
      <c r="AD704" s="536"/>
      <c r="AE704" s="536"/>
      <c r="AF704" s="2390" t="s">
        <v>1344</v>
      </c>
      <c r="AG704" s="2390"/>
      <c r="AH704" s="2390"/>
      <c r="AI704" s="2390"/>
      <c r="AJ704" s="2390"/>
      <c r="AK704" s="2390"/>
      <c r="AL704" s="2390"/>
      <c r="AN704" s="595"/>
      <c r="AW704" s="22" t="s">
        <v>2136</v>
      </c>
      <c r="AX704" s="549">
        <f>Application!DE761</f>
        <v>82</v>
      </c>
    </row>
    <row r="705" spans="1:51" s="549" customFormat="1" ht="12.75" customHeight="1">
      <c r="A705" s="675"/>
      <c r="B705" s="536"/>
      <c r="C705" s="944"/>
      <c r="D705" s="659"/>
      <c r="E705" s="2395"/>
      <c r="F705" s="2395"/>
      <c r="G705" s="2395"/>
      <c r="H705" s="2395"/>
      <c r="I705" s="2395"/>
      <c r="J705" s="2395"/>
      <c r="K705" s="2395"/>
      <c r="L705" s="2395"/>
      <c r="M705" s="2395"/>
      <c r="N705" s="2395"/>
      <c r="O705" s="2395"/>
      <c r="P705" s="2395"/>
      <c r="Q705" s="2395"/>
      <c r="R705" s="2395"/>
      <c r="S705" s="2395"/>
      <c r="T705" s="2395"/>
      <c r="U705" s="2395"/>
      <c r="V705" s="2395"/>
      <c r="W705" s="2395"/>
      <c r="X705" s="2395"/>
      <c r="Y705" s="2395"/>
      <c r="Z705" s="2395"/>
      <c r="AA705" s="2395"/>
      <c r="AB705" s="2395"/>
      <c r="AC705" s="536"/>
      <c r="AD705" s="536"/>
      <c r="AE705" s="536"/>
      <c r="AF705" s="536"/>
      <c r="AG705" s="536"/>
      <c r="AH705" s="536"/>
      <c r="AI705" s="536"/>
      <c r="AJ705" s="536"/>
      <c r="AK705" s="536"/>
      <c r="AL705" s="536"/>
      <c r="AN705" s="595"/>
      <c r="AW705" s="22" t="s">
        <v>2137</v>
      </c>
      <c r="AX705" s="549">
        <f>Application!DJ761</f>
        <v>36</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507</v>
      </c>
      <c r="E707" s="2389" t="s">
        <v>2086</v>
      </c>
      <c r="F707" s="2389"/>
      <c r="G707" s="2389"/>
      <c r="H707" s="2389"/>
      <c r="I707" s="2389"/>
      <c r="J707" s="2389"/>
      <c r="K707" s="2389"/>
      <c r="L707" s="2389"/>
      <c r="M707" s="2389"/>
      <c r="N707" s="2389"/>
      <c r="O707" s="2389"/>
      <c r="P707" s="2389"/>
      <c r="Q707" s="2389"/>
      <c r="R707" s="2389"/>
      <c r="S707" s="2389"/>
      <c r="T707" s="2389"/>
      <c r="U707" s="2389"/>
      <c r="V707" s="2389"/>
      <c r="W707" s="2389"/>
      <c r="X707" s="2389"/>
      <c r="Y707" s="2389"/>
      <c r="Z707" s="2389"/>
      <c r="AA707" s="2389"/>
      <c r="AB707" s="2389"/>
      <c r="AC707" s="536"/>
      <c r="AD707" s="536"/>
      <c r="AE707" s="536"/>
      <c r="AF707" s="2390" t="s">
        <v>1344</v>
      </c>
      <c r="AG707" s="2390"/>
      <c r="AH707" s="2390"/>
      <c r="AI707" s="2390"/>
      <c r="AJ707" s="2390"/>
      <c r="AK707" s="2390"/>
      <c r="AL707" s="2390"/>
      <c r="AN707" s="595"/>
      <c r="AW707" s="22" t="s">
        <v>2139</v>
      </c>
      <c r="AX707" s="549">
        <f>AX704+AX705+AX706</f>
        <v>118</v>
      </c>
    </row>
    <row r="708" spans="1:51" s="549" customFormat="1" ht="12.75" customHeight="1">
      <c r="B708" s="536"/>
      <c r="C708" s="936"/>
      <c r="D708" s="659"/>
      <c r="E708" s="2389"/>
      <c r="F708" s="2389"/>
      <c r="G708" s="2389"/>
      <c r="H708" s="2389"/>
      <c r="I708" s="2389"/>
      <c r="J708" s="2389"/>
      <c r="K708" s="2389"/>
      <c r="L708" s="2389"/>
      <c r="M708" s="2389"/>
      <c r="N708" s="2389"/>
      <c r="O708" s="2389"/>
      <c r="P708" s="2389"/>
      <c r="Q708" s="2389"/>
      <c r="R708" s="2389"/>
      <c r="S708" s="2389"/>
      <c r="T708" s="2389"/>
      <c r="U708" s="2389"/>
      <c r="V708" s="2389"/>
      <c r="W708" s="2389"/>
      <c r="X708" s="2389"/>
      <c r="Y708" s="2389"/>
      <c r="Z708" s="2389"/>
      <c r="AA708" s="2389"/>
      <c r="AB708" s="2389"/>
      <c r="AC708" s="536"/>
      <c r="AD708" s="536"/>
      <c r="AE708" s="614"/>
      <c r="AF708" s="536"/>
      <c r="AG708" s="536"/>
      <c r="AH708" s="536"/>
      <c r="AI708" s="536"/>
      <c r="AJ708" s="536"/>
      <c r="AK708" s="536"/>
      <c r="AL708" s="536"/>
      <c r="AN708" s="595"/>
      <c r="AO708" s="2459" t="b">
        <f>IF(Application!D211="Special Needs",IF(AY708&gt;=0.25,TRUE,FALSE),IF(AX708&gt;=0.25,TRUE,FALSE))</f>
        <v>1</v>
      </c>
      <c r="AP708" s="2459"/>
      <c r="AW708" s="22" t="s">
        <v>2140</v>
      </c>
      <c r="AX708" s="549">
        <f>IFERROR(AX707/AX703,0)</f>
        <v>0.49789029535864981</v>
      </c>
      <c r="AY708" s="549">
        <f>IFERROR(AX707/(AX703-AX702),0)</f>
        <v>0.49789029535864981</v>
      </c>
    </row>
    <row r="709" spans="1:51" s="549" customFormat="1" ht="12.75" customHeight="1">
      <c r="B709" s="536"/>
      <c r="C709" s="936"/>
      <c r="E709" s="2389"/>
      <c r="F709" s="2389"/>
      <c r="G709" s="2389"/>
      <c r="H709" s="2389"/>
      <c r="I709" s="2389"/>
      <c r="J709" s="2389"/>
      <c r="K709" s="2389"/>
      <c r="L709" s="2389"/>
      <c r="M709" s="2389"/>
      <c r="N709" s="2389"/>
      <c r="O709" s="2389"/>
      <c r="P709" s="2389"/>
      <c r="Q709" s="2389"/>
      <c r="R709" s="2389"/>
      <c r="S709" s="2389"/>
      <c r="T709" s="2389"/>
      <c r="U709" s="2389"/>
      <c r="V709" s="2389"/>
      <c r="W709" s="2389"/>
      <c r="X709" s="2389"/>
      <c r="Y709" s="2389"/>
      <c r="Z709" s="2389"/>
      <c r="AA709" s="2389"/>
      <c r="AB709" s="2389"/>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9"/>
      <c r="F710" s="2389"/>
      <c r="G710" s="2389"/>
      <c r="H710" s="2389"/>
      <c r="I710" s="2389"/>
      <c r="J710" s="2389"/>
      <c r="K710" s="2389"/>
      <c r="L710" s="2389"/>
      <c r="M710" s="2389"/>
      <c r="N710" s="2389"/>
      <c r="O710" s="2389"/>
      <c r="P710" s="2389"/>
      <c r="Q710" s="2389"/>
      <c r="R710" s="2389"/>
      <c r="S710" s="2389"/>
      <c r="T710" s="2389"/>
      <c r="U710" s="2389"/>
      <c r="V710" s="2389"/>
      <c r="W710" s="2389"/>
      <c r="X710" s="2389"/>
      <c r="Y710" s="2389"/>
      <c r="Z710" s="2389"/>
      <c r="AA710" s="2389"/>
      <c r="AB710" s="2389"/>
      <c r="AC710" s="536"/>
      <c r="AD710" s="536"/>
      <c r="AE710" s="614"/>
      <c r="AF710" s="614"/>
      <c r="AG710" s="614"/>
      <c r="AH710" s="614"/>
      <c r="AI710" s="614"/>
      <c r="AJ710" s="614"/>
      <c r="AK710" s="614"/>
      <c r="AL710" s="614"/>
      <c r="AN710" s="595"/>
      <c r="AO710" s="549" t="s">
        <v>589</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389" t="s">
        <v>2087</v>
      </c>
      <c r="F712" s="2389"/>
      <c r="G712" s="2389"/>
      <c r="H712" s="2389"/>
      <c r="I712" s="2389"/>
      <c r="J712" s="2389"/>
      <c r="K712" s="2389"/>
      <c r="L712" s="2389"/>
      <c r="M712" s="2389"/>
      <c r="N712" s="2389"/>
      <c r="O712" s="2389"/>
      <c r="P712" s="2389"/>
      <c r="Q712" s="2389"/>
      <c r="R712" s="2389"/>
      <c r="S712" s="2389"/>
      <c r="T712" s="2389"/>
      <c r="U712" s="2389"/>
      <c r="V712" s="2389"/>
      <c r="W712" s="2389"/>
      <c r="X712" s="2389"/>
      <c r="Y712" s="2389"/>
      <c r="Z712" s="2389"/>
      <c r="AA712" s="2389"/>
      <c r="AB712" s="2389"/>
      <c r="AC712" s="536"/>
      <c r="AD712" s="536"/>
      <c r="AE712" s="536"/>
      <c r="AF712" s="2390" t="s">
        <v>1398</v>
      </c>
      <c r="AG712" s="2390"/>
      <c r="AH712" s="2390"/>
      <c r="AI712" s="2390"/>
      <c r="AJ712" s="2390"/>
      <c r="AK712" s="2390"/>
      <c r="AL712" s="2390"/>
      <c r="AN712" s="595"/>
      <c r="AO712" s="609" t="s">
        <v>507</v>
      </c>
      <c r="AP712" s="549">
        <v>1</v>
      </c>
    </row>
    <row r="713" spans="1:51" s="549" customFormat="1" ht="12" customHeight="1">
      <c r="B713" s="536"/>
      <c r="C713" s="927"/>
      <c r="E713" s="2389"/>
      <c r="F713" s="2389"/>
      <c r="G713" s="2389"/>
      <c r="H713" s="2389"/>
      <c r="I713" s="2389"/>
      <c r="J713" s="2389"/>
      <c r="K713" s="2389"/>
      <c r="L713" s="2389"/>
      <c r="M713" s="2389"/>
      <c r="N713" s="2389"/>
      <c r="O713" s="2389"/>
      <c r="P713" s="2389"/>
      <c r="Q713" s="2389"/>
      <c r="R713" s="2389"/>
      <c r="S713" s="2389"/>
      <c r="T713" s="2389"/>
      <c r="U713" s="2389"/>
      <c r="V713" s="2389"/>
      <c r="W713" s="2389"/>
      <c r="X713" s="2389"/>
      <c r="Y713" s="2389"/>
      <c r="Z713" s="2389"/>
      <c r="AA713" s="2389"/>
      <c r="AB713" s="2389"/>
      <c r="AC713" s="536"/>
      <c r="AD713" s="536"/>
      <c r="AE713" s="614"/>
      <c r="AF713" s="536"/>
      <c r="AG713" s="536"/>
      <c r="AH713" s="536"/>
      <c r="AI713" s="536"/>
      <c r="AJ713" s="536"/>
      <c r="AK713" s="536"/>
      <c r="AL713" s="536"/>
      <c r="AN713" s="595"/>
    </row>
    <row r="714" spans="1:51" s="549" customFormat="1" ht="12" customHeight="1">
      <c r="B714" s="536"/>
      <c r="C714" s="927"/>
      <c r="D714" s="536"/>
      <c r="E714" s="2389"/>
      <c r="F714" s="2389"/>
      <c r="G714" s="2389"/>
      <c r="H714" s="2389"/>
      <c r="I714" s="2389"/>
      <c r="J714" s="2389"/>
      <c r="K714" s="2389"/>
      <c r="L714" s="2389"/>
      <c r="M714" s="2389"/>
      <c r="N714" s="2389"/>
      <c r="O714" s="2389"/>
      <c r="P714" s="2389"/>
      <c r="Q714" s="2389"/>
      <c r="R714" s="2389"/>
      <c r="S714" s="2389"/>
      <c r="T714" s="2389"/>
      <c r="U714" s="2389"/>
      <c r="V714" s="2389"/>
      <c r="W714" s="2389"/>
      <c r="X714" s="2389"/>
      <c r="Y714" s="2389"/>
      <c r="Z714" s="2389"/>
      <c r="AA714" s="2389"/>
      <c r="AB714" s="2389"/>
      <c r="AC714" s="536"/>
      <c r="AD714" s="536"/>
      <c r="AE714" s="614"/>
      <c r="AF714" s="536"/>
      <c r="AG714" s="536"/>
      <c r="AH714" s="536"/>
      <c r="AI714" s="536"/>
      <c r="AJ714" s="536"/>
      <c r="AK714" s="536"/>
      <c r="AL714" s="536"/>
      <c r="AN714" s="595"/>
    </row>
    <row r="715" spans="1:51" s="549" customFormat="1" ht="12" customHeight="1">
      <c r="B715" s="536"/>
      <c r="C715" s="927"/>
      <c r="D715" s="536"/>
      <c r="E715" s="2389"/>
      <c r="F715" s="2389"/>
      <c r="G715" s="2389"/>
      <c r="H715" s="2389"/>
      <c r="I715" s="2389"/>
      <c r="J715" s="2389"/>
      <c r="K715" s="2389"/>
      <c r="L715" s="2389"/>
      <c r="M715" s="2389"/>
      <c r="N715" s="2389"/>
      <c r="O715" s="2389"/>
      <c r="P715" s="2389"/>
      <c r="Q715" s="2389"/>
      <c r="R715" s="2389"/>
      <c r="S715" s="2389"/>
      <c r="T715" s="2389"/>
      <c r="U715" s="2389"/>
      <c r="V715" s="2389"/>
      <c r="W715" s="2389"/>
      <c r="X715" s="2389"/>
      <c r="Y715" s="2389"/>
      <c r="Z715" s="2389"/>
      <c r="AA715" s="2389"/>
      <c r="AB715" s="2389"/>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9"/>
      <c r="F716" s="2389"/>
      <c r="G716" s="2389"/>
      <c r="H716" s="2389"/>
      <c r="I716" s="2389"/>
      <c r="J716" s="2389"/>
      <c r="K716" s="2389"/>
      <c r="L716" s="2389"/>
      <c r="M716" s="2389"/>
      <c r="N716" s="2389"/>
      <c r="O716" s="2389"/>
      <c r="P716" s="2389"/>
      <c r="Q716" s="2389"/>
      <c r="R716" s="2389"/>
      <c r="S716" s="2389"/>
      <c r="T716" s="2389"/>
      <c r="U716" s="2389"/>
      <c r="V716" s="2389"/>
      <c r="W716" s="2389"/>
      <c r="X716" s="2389"/>
      <c r="Y716" s="2389"/>
      <c r="Z716" s="2389"/>
      <c r="AA716" s="2389"/>
      <c r="AB716" s="2389"/>
      <c r="AC716" s="536"/>
      <c r="AD716" s="536"/>
      <c r="AE716" s="614"/>
      <c r="AF716" s="614"/>
      <c r="AG716" s="614"/>
      <c r="AH716" s="614"/>
      <c r="AI716" s="614"/>
      <c r="AJ716" s="536"/>
      <c r="AK716" s="536"/>
      <c r="AL716" s="536"/>
      <c r="AM716" s="549"/>
      <c r="AN716" s="680"/>
      <c r="AO716" s="549" t="s">
        <v>589</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389" t="s">
        <v>1680</v>
      </c>
      <c r="F718" s="2389"/>
      <c r="G718" s="2389"/>
      <c r="H718" s="2389"/>
      <c r="I718" s="2389"/>
      <c r="J718" s="2389"/>
      <c r="K718" s="2389"/>
      <c r="L718" s="2389"/>
      <c r="M718" s="2389"/>
      <c r="N718" s="2389"/>
      <c r="O718" s="2389"/>
      <c r="P718" s="2389"/>
      <c r="Q718" s="2389"/>
      <c r="R718" s="2389"/>
      <c r="S718" s="2389"/>
      <c r="T718" s="2389"/>
      <c r="U718" s="2389"/>
      <c r="V718" s="2389"/>
      <c r="W718" s="2389"/>
      <c r="X718" s="2389"/>
      <c r="Y718" s="2389"/>
      <c r="Z718" s="2389"/>
      <c r="AA718" s="2389"/>
      <c r="AB718" s="2389"/>
      <c r="AC718" s="536"/>
      <c r="AD718" s="536"/>
      <c r="AE718" s="614"/>
      <c r="AF718" s="614"/>
      <c r="AG718" s="614"/>
      <c r="AH718" s="614"/>
      <c r="AI718" s="614"/>
      <c r="AJ718" s="536"/>
      <c r="AK718" s="536"/>
      <c r="AL718" s="536"/>
      <c r="AM718" s="549"/>
      <c r="AN718" s="680"/>
      <c r="AO718" s="609" t="s">
        <v>507</v>
      </c>
      <c r="AP718" s="549">
        <f>3*$AO$708</f>
        <v>3</v>
      </c>
    </row>
    <row r="719" spans="1:51" s="568" customFormat="1" ht="12.75" customHeight="1">
      <c r="A719" s="549"/>
      <c r="B719" s="536"/>
      <c r="C719" s="927"/>
      <c r="D719" s="536"/>
      <c r="E719" s="2389"/>
      <c r="F719" s="2389"/>
      <c r="G719" s="2389"/>
      <c r="H719" s="2389"/>
      <c r="I719" s="2389"/>
      <c r="J719" s="2389"/>
      <c r="K719" s="2389"/>
      <c r="L719" s="2389"/>
      <c r="M719" s="2389"/>
      <c r="N719" s="2389"/>
      <c r="O719" s="2389"/>
      <c r="P719" s="2389"/>
      <c r="Q719" s="2389"/>
      <c r="R719" s="2389"/>
      <c r="S719" s="2389"/>
      <c r="T719" s="2389"/>
      <c r="U719" s="2389"/>
      <c r="V719" s="2389"/>
      <c r="W719" s="2389"/>
      <c r="X719" s="2389"/>
      <c r="Y719" s="2389"/>
      <c r="Z719" s="2389"/>
      <c r="AA719" s="2389"/>
      <c r="AB719" s="2389"/>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389"/>
      <c r="F720" s="2389"/>
      <c r="G720" s="2389"/>
      <c r="H720" s="2389"/>
      <c r="I720" s="2389"/>
      <c r="J720" s="2389"/>
      <c r="K720" s="2389"/>
      <c r="L720" s="2389"/>
      <c r="M720" s="2389"/>
      <c r="N720" s="2389"/>
      <c r="O720" s="2389"/>
      <c r="P720" s="2389"/>
      <c r="Q720" s="2389"/>
      <c r="R720" s="2389"/>
      <c r="S720" s="2389"/>
      <c r="T720" s="2389"/>
      <c r="U720" s="2389"/>
      <c r="V720" s="2389"/>
      <c r="W720" s="2389"/>
      <c r="X720" s="2389"/>
      <c r="Y720" s="2389"/>
      <c r="Z720" s="2389"/>
      <c r="AA720" s="2389"/>
      <c r="AB720" s="238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391" t="s">
        <v>589</v>
      </c>
      <c r="I722" s="239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392">
        <f>VLOOKUP($H$722,$AO$716:$AP$719,2,FALSE)</f>
        <v>0</v>
      </c>
      <c r="AK724" s="2393"/>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31" t="s">
        <v>1682</v>
      </c>
      <c r="F728" s="2531"/>
      <c r="G728" s="2531"/>
      <c r="H728" s="2531"/>
      <c r="I728" s="2531"/>
      <c r="J728" s="2531"/>
      <c r="K728" s="2531"/>
      <c r="L728" s="2531"/>
      <c r="M728" s="2531"/>
      <c r="N728" s="2531"/>
      <c r="O728" s="2531"/>
      <c r="P728" s="2531"/>
      <c r="Q728" s="2531"/>
      <c r="R728" s="2531"/>
      <c r="S728" s="2531"/>
      <c r="T728" s="2531"/>
      <c r="U728" s="2531"/>
      <c r="V728" s="2531"/>
      <c r="W728" s="2531"/>
      <c r="X728" s="2531"/>
      <c r="Y728" s="2531"/>
      <c r="Z728" s="2531"/>
      <c r="AA728" s="2531"/>
      <c r="AB728" s="2531"/>
      <c r="AC728" s="536"/>
      <c r="AD728" s="536"/>
      <c r="AE728" s="536"/>
      <c r="AF728" s="2390" t="s">
        <v>1344</v>
      </c>
      <c r="AG728" s="2390"/>
      <c r="AH728" s="2390"/>
      <c r="AI728" s="2390"/>
      <c r="AJ728" s="2390"/>
      <c r="AK728" s="2390"/>
      <c r="AL728" s="2390"/>
      <c r="AM728" s="549"/>
      <c r="AN728" s="680"/>
      <c r="AP728" s="568" t="s">
        <v>1422</v>
      </c>
    </row>
    <row r="729" spans="1:43" s="568" customFormat="1" ht="11.85" customHeight="1">
      <c r="A729" s="549"/>
      <c r="B729" s="536"/>
      <c r="C729" s="929"/>
      <c r="D729" s="659"/>
      <c r="E729" s="2531"/>
      <c r="F729" s="2531"/>
      <c r="G729" s="2531"/>
      <c r="H729" s="2531"/>
      <c r="I729" s="2531"/>
      <c r="J729" s="2531"/>
      <c r="K729" s="2531"/>
      <c r="L729" s="2531"/>
      <c r="M729" s="2531"/>
      <c r="N729" s="2531"/>
      <c r="O729" s="2531"/>
      <c r="P729" s="2531"/>
      <c r="Q729" s="2531"/>
      <c r="R729" s="2531"/>
      <c r="S729" s="2531"/>
      <c r="T729" s="2531"/>
      <c r="U729" s="2531"/>
      <c r="V729" s="2531"/>
      <c r="W729" s="2531"/>
      <c r="X729" s="2531"/>
      <c r="Y729" s="2531"/>
      <c r="Z729" s="2531"/>
      <c r="AA729" s="2531"/>
      <c r="AB729" s="2531"/>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31"/>
      <c r="F730" s="2531"/>
      <c r="G730" s="2531"/>
      <c r="H730" s="2531"/>
      <c r="I730" s="2531"/>
      <c r="J730" s="2531"/>
      <c r="K730" s="2531"/>
      <c r="L730" s="2531"/>
      <c r="M730" s="2531"/>
      <c r="N730" s="2531"/>
      <c r="O730" s="2531"/>
      <c r="P730" s="2531"/>
      <c r="Q730" s="2531"/>
      <c r="R730" s="2531"/>
      <c r="S730" s="2531"/>
      <c r="T730" s="2531"/>
      <c r="U730" s="2531"/>
      <c r="V730" s="2531"/>
      <c r="W730" s="2531"/>
      <c r="X730" s="2531"/>
      <c r="Y730" s="2531"/>
      <c r="Z730" s="2531"/>
      <c r="AA730" s="2531"/>
      <c r="AB730" s="2531"/>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507</v>
      </c>
      <c r="E732" s="2532" t="s">
        <v>1425</v>
      </c>
      <c r="F732" s="2532"/>
      <c r="G732" s="2532"/>
      <c r="H732" s="2532"/>
      <c r="I732" s="2532"/>
      <c r="J732" s="2532"/>
      <c r="K732" s="2532"/>
      <c r="L732" s="2532"/>
      <c r="M732" s="2532"/>
      <c r="N732" s="2532"/>
      <c r="O732" s="2532"/>
      <c r="P732" s="2532"/>
      <c r="Q732" s="2532"/>
      <c r="R732" s="2532"/>
      <c r="S732" s="2532"/>
      <c r="T732" s="2532"/>
      <c r="U732" s="2532"/>
      <c r="V732" s="2532"/>
      <c r="W732" s="2532"/>
      <c r="X732" s="2532"/>
      <c r="Y732" s="2532"/>
      <c r="Z732" s="2532"/>
      <c r="AA732" s="2532"/>
      <c r="AB732" s="2532"/>
      <c r="AC732" s="536"/>
      <c r="AD732" s="536"/>
      <c r="AE732" s="536"/>
      <c r="AF732" s="2390" t="s">
        <v>1398</v>
      </c>
      <c r="AG732" s="2390"/>
      <c r="AH732" s="2390"/>
      <c r="AI732" s="2390"/>
      <c r="AJ732" s="2390"/>
      <c r="AK732" s="2390"/>
      <c r="AL732" s="2390"/>
      <c r="AM732" s="549"/>
      <c r="AN732" s="681"/>
    </row>
    <row r="733" spans="1:43" s="568" customFormat="1" ht="12.75" customHeight="1">
      <c r="A733" s="549"/>
      <c r="B733" s="536"/>
      <c r="C733" s="929"/>
      <c r="D733" s="536"/>
      <c r="E733" s="2532"/>
      <c r="F733" s="2532"/>
      <c r="G733" s="2532"/>
      <c r="H733" s="2532"/>
      <c r="I733" s="2532"/>
      <c r="J733" s="2532"/>
      <c r="K733" s="2532"/>
      <c r="L733" s="2532"/>
      <c r="M733" s="2532"/>
      <c r="N733" s="2532"/>
      <c r="O733" s="2532"/>
      <c r="P733" s="2532"/>
      <c r="Q733" s="2532"/>
      <c r="R733" s="2532"/>
      <c r="S733" s="2532"/>
      <c r="T733" s="2532"/>
      <c r="U733" s="2532"/>
      <c r="V733" s="2532"/>
      <c r="W733" s="2532"/>
      <c r="X733" s="2532"/>
      <c r="Y733" s="2532"/>
      <c r="Z733" s="2532"/>
      <c r="AA733" s="2532"/>
      <c r="AB733" s="2532"/>
      <c r="AC733" s="536"/>
      <c r="AD733" s="536"/>
      <c r="AE733" s="536"/>
      <c r="AF733" s="536"/>
      <c r="AG733" s="536"/>
      <c r="AH733" s="536"/>
      <c r="AI733" s="536"/>
      <c r="AJ733" s="536"/>
      <c r="AK733" s="536"/>
      <c r="AL733" s="536"/>
      <c r="AM733" s="549"/>
      <c r="AN733" s="680"/>
      <c r="AP733" s="549" t="s">
        <v>589</v>
      </c>
      <c r="AQ733" s="669">
        <v>0</v>
      </c>
    </row>
    <row r="734" spans="1:43" s="568" customFormat="1" ht="13.9" customHeight="1">
      <c r="A734" s="549"/>
      <c r="B734" s="536"/>
      <c r="C734" s="929"/>
      <c r="D734" s="536"/>
      <c r="E734" s="2532"/>
      <c r="F734" s="2532"/>
      <c r="G734" s="2532"/>
      <c r="H734" s="2532"/>
      <c r="I734" s="2532"/>
      <c r="J734" s="2532"/>
      <c r="K734" s="2532"/>
      <c r="L734" s="2532"/>
      <c r="M734" s="2532"/>
      <c r="N734" s="2532"/>
      <c r="O734" s="2532"/>
      <c r="P734" s="2532"/>
      <c r="Q734" s="2532"/>
      <c r="R734" s="2532"/>
      <c r="S734" s="2532"/>
      <c r="T734" s="2532"/>
      <c r="U734" s="2532"/>
      <c r="V734" s="2532"/>
      <c r="W734" s="2532"/>
      <c r="X734" s="2532"/>
      <c r="Y734" s="2532"/>
      <c r="Z734" s="2532"/>
      <c r="AA734" s="2532"/>
      <c r="AB734" s="2532"/>
      <c r="AC734" s="536"/>
      <c r="AD734" s="536"/>
      <c r="AE734" s="536"/>
      <c r="AF734" s="536"/>
      <c r="AG734" s="536"/>
      <c r="AH734" s="536"/>
      <c r="AI734" s="536"/>
      <c r="AJ734" s="536"/>
      <c r="AK734" s="536"/>
      <c r="AL734" s="536"/>
      <c r="AM734" s="549"/>
      <c r="AN734" s="680"/>
      <c r="AP734" s="609" t="s">
        <v>685</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507</v>
      </c>
      <c r="AQ735" s="549">
        <v>2</v>
      </c>
    </row>
    <row r="736" spans="1:43" s="568" customFormat="1" ht="13.9" customHeight="1">
      <c r="A736" s="549"/>
      <c r="B736" s="536"/>
      <c r="C736" s="929"/>
      <c r="D736" s="536" t="s">
        <v>1390</v>
      </c>
      <c r="E736" s="932"/>
      <c r="F736" s="932"/>
      <c r="G736" s="932"/>
      <c r="H736" s="2391" t="s">
        <v>589</v>
      </c>
      <c r="I736" s="239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392">
        <f>VLOOKUP($H$736,$AP$733:$AQ$735,2,FALSE)</f>
        <v>0</v>
      </c>
      <c r="AK738" s="2393"/>
      <c r="AL738" s="593"/>
      <c r="AM738" s="549"/>
      <c r="AN738" s="680"/>
      <c r="AP738" s="2392"/>
      <c r="AQ738" s="239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389" t="s">
        <v>1683</v>
      </c>
      <c r="F742" s="2389"/>
      <c r="G742" s="2389"/>
      <c r="H742" s="2389"/>
      <c r="I742" s="2389"/>
      <c r="J742" s="2389"/>
      <c r="K742" s="2389"/>
      <c r="L742" s="2389"/>
      <c r="M742" s="2389"/>
      <c r="N742" s="2389"/>
      <c r="O742" s="2389"/>
      <c r="P742" s="2389"/>
      <c r="Q742" s="2389"/>
      <c r="R742" s="2389"/>
      <c r="S742" s="2389"/>
      <c r="T742" s="2389"/>
      <c r="U742" s="2389"/>
      <c r="V742" s="2389"/>
      <c r="W742" s="2389"/>
      <c r="X742" s="2389"/>
      <c r="Y742" s="2389"/>
      <c r="Z742" s="2389"/>
      <c r="AA742" s="2389"/>
      <c r="AB742" s="2389"/>
      <c r="AC742" s="536"/>
      <c r="AD742" s="536"/>
      <c r="AE742" s="536"/>
      <c r="AF742" s="2390" t="s">
        <v>1344</v>
      </c>
      <c r="AG742" s="2390"/>
      <c r="AH742" s="2390"/>
      <c r="AI742" s="2390"/>
      <c r="AJ742" s="2390"/>
      <c r="AK742" s="2390"/>
      <c r="AL742" s="2390"/>
      <c r="AM742" s="549"/>
      <c r="AN742" s="680"/>
      <c r="AT742" s="14"/>
      <c r="AU742" s="14"/>
      <c r="AV742" s="14"/>
      <c r="AW742" s="14"/>
      <c r="AX742" s="14"/>
      <c r="AY742" s="14"/>
      <c r="AZ742" s="14"/>
    </row>
    <row r="743" spans="1:81" s="568" customFormat="1">
      <c r="A743" s="549"/>
      <c r="B743" s="536"/>
      <c r="C743" s="929"/>
      <c r="D743" s="659"/>
      <c r="E743" s="2389"/>
      <c r="F743" s="2389"/>
      <c r="G743" s="2389"/>
      <c r="H743" s="2389"/>
      <c r="I743" s="2389"/>
      <c r="J743" s="2389"/>
      <c r="K743" s="2389"/>
      <c r="L743" s="2389"/>
      <c r="M743" s="2389"/>
      <c r="N743" s="2389"/>
      <c r="O743" s="2389"/>
      <c r="P743" s="2389"/>
      <c r="Q743" s="2389"/>
      <c r="R743" s="2389"/>
      <c r="S743" s="2389"/>
      <c r="T743" s="2389"/>
      <c r="U743" s="2389"/>
      <c r="V743" s="2389"/>
      <c r="W743" s="2389"/>
      <c r="X743" s="2389"/>
      <c r="Y743" s="2389"/>
      <c r="Z743" s="2389"/>
      <c r="AA743" s="2389"/>
      <c r="AB743" s="238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507</v>
      </c>
      <c r="E745" s="2389" t="s">
        <v>1429</v>
      </c>
      <c r="F745" s="2389"/>
      <c r="G745" s="2389"/>
      <c r="H745" s="2389"/>
      <c r="I745" s="2389"/>
      <c r="J745" s="2389"/>
      <c r="K745" s="2389"/>
      <c r="L745" s="2389"/>
      <c r="M745" s="2389"/>
      <c r="N745" s="2389"/>
      <c r="O745" s="2389"/>
      <c r="P745" s="2389"/>
      <c r="Q745" s="2389"/>
      <c r="R745" s="2389"/>
      <c r="S745" s="2389"/>
      <c r="T745" s="2389"/>
      <c r="U745" s="2389"/>
      <c r="V745" s="2389"/>
      <c r="W745" s="2389"/>
      <c r="X745" s="2389"/>
      <c r="Y745" s="2389"/>
      <c r="Z745" s="2389"/>
      <c r="AA745" s="2389"/>
      <c r="AB745" s="2389"/>
      <c r="AC745" s="536"/>
      <c r="AD745" s="536"/>
      <c r="AE745" s="536"/>
      <c r="AF745" s="2390" t="s">
        <v>1398</v>
      </c>
      <c r="AG745" s="2390"/>
      <c r="AH745" s="2390"/>
      <c r="AI745" s="2390"/>
      <c r="AJ745" s="2390"/>
      <c r="AK745" s="2390"/>
      <c r="AL745" s="2390"/>
      <c r="AM745" s="549"/>
      <c r="AN745" s="680"/>
      <c r="AT745" s="14"/>
      <c r="AU745" s="14"/>
      <c r="AV745" s="14"/>
      <c r="AW745" s="14"/>
      <c r="AX745" s="14"/>
      <c r="AY745" s="14"/>
      <c r="AZ745" s="14"/>
    </row>
    <row r="746" spans="1:81" s="568" customFormat="1">
      <c r="A746" s="549"/>
      <c r="B746" s="536"/>
      <c r="C746" s="929"/>
      <c r="D746" s="536"/>
      <c r="E746" s="2389"/>
      <c r="F746" s="2389"/>
      <c r="G746" s="2389"/>
      <c r="H746" s="2389"/>
      <c r="I746" s="2389"/>
      <c r="J746" s="2389"/>
      <c r="K746" s="2389"/>
      <c r="L746" s="2389"/>
      <c r="M746" s="2389"/>
      <c r="N746" s="2389"/>
      <c r="O746" s="2389"/>
      <c r="P746" s="2389"/>
      <c r="Q746" s="2389"/>
      <c r="R746" s="2389"/>
      <c r="S746" s="2389"/>
      <c r="T746" s="2389"/>
      <c r="U746" s="2389"/>
      <c r="V746" s="2389"/>
      <c r="W746" s="2389"/>
      <c r="X746" s="2389"/>
      <c r="Y746" s="2389"/>
      <c r="Z746" s="2389"/>
      <c r="AA746" s="2389"/>
      <c r="AB746" s="238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391" t="s">
        <v>589</v>
      </c>
      <c r="I748" s="239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392">
        <f>VLOOKUP($H$748,$AO$679:$AP$681,2,FALSE)</f>
        <v>0</v>
      </c>
      <c r="AK750" s="239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389" t="s">
        <v>1432</v>
      </c>
      <c r="F754" s="2389"/>
      <c r="G754" s="2389"/>
      <c r="H754" s="2389"/>
      <c r="I754" s="2389"/>
      <c r="J754" s="2389"/>
      <c r="K754" s="2389"/>
      <c r="L754" s="2389"/>
      <c r="M754" s="2389"/>
      <c r="N754" s="2389"/>
      <c r="O754" s="2389"/>
      <c r="P754" s="2389"/>
      <c r="Q754" s="2389"/>
      <c r="R754" s="2389"/>
      <c r="S754" s="2389"/>
      <c r="T754" s="2389"/>
      <c r="U754" s="2389"/>
      <c r="V754" s="2389"/>
      <c r="W754" s="2389"/>
      <c r="X754" s="2389"/>
      <c r="Y754" s="2389"/>
      <c r="Z754" s="2389"/>
      <c r="AA754" s="2389"/>
      <c r="AB754" s="2389"/>
      <c r="AC754" s="536"/>
      <c r="AD754" s="536"/>
      <c r="AE754" s="536"/>
      <c r="AF754" s="2390" t="s">
        <v>1344</v>
      </c>
      <c r="AG754" s="2390"/>
      <c r="AH754" s="2390"/>
      <c r="AI754" s="2390"/>
      <c r="AJ754" s="2390"/>
      <c r="AK754" s="2390"/>
      <c r="AL754" s="2390"/>
      <c r="AM754" s="549"/>
      <c r="AN754" s="680"/>
      <c r="AT754" s="14"/>
      <c r="AU754" s="14"/>
      <c r="AV754" s="14"/>
      <c r="AW754" s="14"/>
      <c r="AX754" s="14"/>
      <c r="AY754" s="14"/>
      <c r="AZ754" s="14"/>
    </row>
    <row r="755" spans="1:81" s="568" customFormat="1">
      <c r="A755" s="549"/>
      <c r="B755" s="536"/>
      <c r="C755" s="927"/>
      <c r="D755" s="659"/>
      <c r="E755" s="2389"/>
      <c r="F755" s="2389"/>
      <c r="G755" s="2389"/>
      <c r="H755" s="2389"/>
      <c r="I755" s="2389"/>
      <c r="J755" s="2389"/>
      <c r="K755" s="2389"/>
      <c r="L755" s="2389"/>
      <c r="M755" s="2389"/>
      <c r="N755" s="2389"/>
      <c r="O755" s="2389"/>
      <c r="P755" s="2389"/>
      <c r="Q755" s="2389"/>
      <c r="R755" s="2389"/>
      <c r="S755" s="2389"/>
      <c r="T755" s="2389"/>
      <c r="U755" s="2389"/>
      <c r="V755" s="2389"/>
      <c r="W755" s="2389"/>
      <c r="X755" s="2389"/>
      <c r="Y755" s="2389"/>
      <c r="Z755" s="2389"/>
      <c r="AA755" s="2389"/>
      <c r="AB755" s="238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9"/>
      <c r="F756" s="2389"/>
      <c r="G756" s="2389"/>
      <c r="H756" s="2389"/>
      <c r="I756" s="2389"/>
      <c r="J756" s="2389"/>
      <c r="K756" s="2389"/>
      <c r="L756" s="2389"/>
      <c r="M756" s="2389"/>
      <c r="N756" s="2389"/>
      <c r="O756" s="2389"/>
      <c r="P756" s="2389"/>
      <c r="Q756" s="2389"/>
      <c r="R756" s="2389"/>
      <c r="S756" s="2389"/>
      <c r="T756" s="2389"/>
      <c r="U756" s="2389"/>
      <c r="V756" s="2389"/>
      <c r="W756" s="2389"/>
      <c r="X756" s="2389"/>
      <c r="Y756" s="2389"/>
      <c r="Z756" s="2389"/>
      <c r="AA756" s="2389"/>
      <c r="AB756" s="238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9"/>
      <c r="F757" s="2389"/>
      <c r="G757" s="2389"/>
      <c r="H757" s="2389"/>
      <c r="I757" s="2389"/>
      <c r="J757" s="2389"/>
      <c r="K757" s="2389"/>
      <c r="L757" s="2389"/>
      <c r="M757" s="2389"/>
      <c r="N757" s="2389"/>
      <c r="O757" s="2389"/>
      <c r="P757" s="2389"/>
      <c r="Q757" s="2389"/>
      <c r="R757" s="2389"/>
      <c r="S757" s="2389"/>
      <c r="T757" s="2389"/>
      <c r="U757" s="2389"/>
      <c r="V757" s="2389"/>
      <c r="W757" s="2389"/>
      <c r="X757" s="2389"/>
      <c r="Y757" s="2389"/>
      <c r="Z757" s="2389"/>
      <c r="AA757" s="2389"/>
      <c r="AB757" s="238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507</v>
      </c>
      <c r="E759" s="2389" t="s">
        <v>1433</v>
      </c>
      <c r="F759" s="2389"/>
      <c r="G759" s="2389"/>
      <c r="H759" s="2389"/>
      <c r="I759" s="2389"/>
      <c r="J759" s="2389"/>
      <c r="K759" s="2389"/>
      <c r="L759" s="2389"/>
      <c r="M759" s="2389"/>
      <c r="N759" s="2389"/>
      <c r="O759" s="2389"/>
      <c r="P759" s="2389"/>
      <c r="Q759" s="2389"/>
      <c r="R759" s="2389"/>
      <c r="S759" s="2389"/>
      <c r="T759" s="2389"/>
      <c r="U759" s="2389"/>
      <c r="V759" s="2389"/>
      <c r="W759" s="2389"/>
      <c r="X759" s="2389"/>
      <c r="Y759" s="2389"/>
      <c r="Z759" s="2389"/>
      <c r="AA759" s="2389"/>
      <c r="AB759" s="573"/>
      <c r="AC759" s="536"/>
      <c r="AD759" s="536"/>
      <c r="AE759" s="536"/>
      <c r="AF759" s="2390" t="s">
        <v>1398</v>
      </c>
      <c r="AG759" s="2390"/>
      <c r="AH759" s="2390"/>
      <c r="AI759" s="2390"/>
      <c r="AJ759" s="2390"/>
      <c r="AK759" s="2390"/>
      <c r="AL759" s="2390"/>
      <c r="AM759" s="549"/>
      <c r="AN759" s="680"/>
      <c r="AO759" s="30"/>
      <c r="AP759" s="14"/>
    </row>
    <row r="760" spans="1:81" s="568" customFormat="1">
      <c r="A760" s="549"/>
      <c r="B760" s="536"/>
      <c r="C760" s="927"/>
      <c r="D760" s="659"/>
      <c r="E760" s="2389"/>
      <c r="F760" s="2389"/>
      <c r="G760" s="2389"/>
      <c r="H760" s="2389"/>
      <c r="I760" s="2389"/>
      <c r="J760" s="2389"/>
      <c r="K760" s="2389"/>
      <c r="L760" s="2389"/>
      <c r="M760" s="2389"/>
      <c r="N760" s="2389"/>
      <c r="O760" s="2389"/>
      <c r="P760" s="2389"/>
      <c r="Q760" s="2389"/>
      <c r="R760" s="2389"/>
      <c r="S760" s="2389"/>
      <c r="T760" s="2389"/>
      <c r="U760" s="2389"/>
      <c r="V760" s="2389"/>
      <c r="W760" s="2389"/>
      <c r="X760" s="2389"/>
      <c r="Y760" s="2389"/>
      <c r="Z760" s="2389"/>
      <c r="AA760" s="238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9"/>
      <c r="F761" s="2389"/>
      <c r="G761" s="2389"/>
      <c r="H761" s="2389"/>
      <c r="I761" s="2389"/>
      <c r="J761" s="2389"/>
      <c r="K761" s="2389"/>
      <c r="L761" s="2389"/>
      <c r="M761" s="2389"/>
      <c r="N761" s="2389"/>
      <c r="O761" s="2389"/>
      <c r="P761" s="2389"/>
      <c r="Q761" s="2389"/>
      <c r="R761" s="2389"/>
      <c r="S761" s="2389"/>
      <c r="T761" s="2389"/>
      <c r="U761" s="2389"/>
      <c r="V761" s="2389"/>
      <c r="W761" s="2389"/>
      <c r="X761" s="2389"/>
      <c r="Y761" s="2389"/>
      <c r="Z761" s="2389"/>
      <c r="AA761" s="238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9"/>
      <c r="F762" s="2389"/>
      <c r="G762" s="2389"/>
      <c r="H762" s="2389"/>
      <c r="I762" s="2389"/>
      <c r="J762" s="2389"/>
      <c r="K762" s="2389"/>
      <c r="L762" s="2389"/>
      <c r="M762" s="2389"/>
      <c r="N762" s="2389"/>
      <c r="O762" s="2389"/>
      <c r="P762" s="2389"/>
      <c r="Q762" s="2389"/>
      <c r="R762" s="2389"/>
      <c r="S762" s="2389"/>
      <c r="T762" s="2389"/>
      <c r="U762" s="2389"/>
      <c r="V762" s="2389"/>
      <c r="W762" s="2389"/>
      <c r="X762" s="2389"/>
      <c r="Y762" s="2389"/>
      <c r="Z762" s="2389"/>
      <c r="AA762" s="238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391" t="s">
        <v>589</v>
      </c>
      <c r="I764" s="239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392">
        <f>VLOOKUP($H$764,$AO$693:$AP$695,2,FALSE)</f>
        <v>0</v>
      </c>
      <c r="AK766" s="239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389" t="s">
        <v>1435</v>
      </c>
      <c r="F770" s="2389"/>
      <c r="G770" s="2389"/>
      <c r="H770" s="2389"/>
      <c r="I770" s="2389"/>
      <c r="J770" s="2389"/>
      <c r="K770" s="2389"/>
      <c r="L770" s="2389"/>
      <c r="M770" s="2389"/>
      <c r="N770" s="2389"/>
      <c r="O770" s="2389"/>
      <c r="P770" s="2389"/>
      <c r="Q770" s="2389"/>
      <c r="R770" s="2389"/>
      <c r="S770" s="2389"/>
      <c r="T770" s="2389"/>
      <c r="U770" s="2389"/>
      <c r="V770" s="2389"/>
      <c r="W770" s="2389"/>
      <c r="X770" s="2389"/>
      <c r="Y770" s="2389"/>
      <c r="Z770" s="2389"/>
      <c r="AA770" s="2389"/>
      <c r="AB770" s="2389"/>
      <c r="AC770" s="536"/>
      <c r="AD770" s="536"/>
      <c r="AE770" s="536"/>
      <c r="AF770" s="2390" t="s">
        <v>1398</v>
      </c>
      <c r="AG770" s="2390"/>
      <c r="AH770" s="2390"/>
      <c r="AI770" s="2390"/>
      <c r="AJ770" s="2390"/>
      <c r="AK770" s="2390"/>
      <c r="AL770" s="239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9"/>
      <c r="F771" s="2389"/>
      <c r="G771" s="2389"/>
      <c r="H771" s="2389"/>
      <c r="I771" s="2389"/>
      <c r="J771" s="2389"/>
      <c r="K771" s="2389"/>
      <c r="L771" s="2389"/>
      <c r="M771" s="2389"/>
      <c r="N771" s="2389"/>
      <c r="O771" s="2389"/>
      <c r="P771" s="2389"/>
      <c r="Q771" s="2389"/>
      <c r="R771" s="2389"/>
      <c r="S771" s="2389"/>
      <c r="T771" s="2389"/>
      <c r="U771" s="2389"/>
      <c r="V771" s="2389"/>
      <c r="W771" s="2389"/>
      <c r="X771" s="2389"/>
      <c r="Y771" s="2389"/>
      <c r="Z771" s="2389"/>
      <c r="AA771" s="2389"/>
      <c r="AB771" s="238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507</v>
      </c>
      <c r="E773" s="2389" t="s">
        <v>1436</v>
      </c>
      <c r="F773" s="2389"/>
      <c r="G773" s="2389"/>
      <c r="H773" s="2389"/>
      <c r="I773" s="2389"/>
      <c r="J773" s="2389"/>
      <c r="K773" s="2389"/>
      <c r="L773" s="2389"/>
      <c r="M773" s="2389"/>
      <c r="N773" s="2389"/>
      <c r="O773" s="2389"/>
      <c r="P773" s="2389"/>
      <c r="Q773" s="2389"/>
      <c r="R773" s="2389"/>
      <c r="S773" s="2389"/>
      <c r="T773" s="2389"/>
      <c r="U773" s="2389"/>
      <c r="V773" s="2389"/>
      <c r="W773" s="2389"/>
      <c r="X773" s="2389"/>
      <c r="Y773" s="2389"/>
      <c r="Z773" s="2389"/>
      <c r="AA773" s="2389"/>
      <c r="AB773" s="2389"/>
      <c r="AC773" s="536"/>
      <c r="AD773" s="536"/>
      <c r="AE773" s="536"/>
      <c r="AF773" s="2390" t="s">
        <v>1415</v>
      </c>
      <c r="AG773" s="2390"/>
      <c r="AH773" s="2390"/>
      <c r="AI773" s="2390"/>
      <c r="AJ773" s="2390"/>
      <c r="AK773" s="2390"/>
      <c r="AL773" s="239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9"/>
      <c r="F774" s="2389"/>
      <c r="G774" s="2389"/>
      <c r="H774" s="2389"/>
      <c r="I774" s="2389"/>
      <c r="J774" s="2389"/>
      <c r="K774" s="2389"/>
      <c r="L774" s="2389"/>
      <c r="M774" s="2389"/>
      <c r="N774" s="2389"/>
      <c r="O774" s="2389"/>
      <c r="P774" s="2389"/>
      <c r="Q774" s="2389"/>
      <c r="R774" s="2389"/>
      <c r="S774" s="2389"/>
      <c r="T774" s="2389"/>
      <c r="U774" s="2389"/>
      <c r="V774" s="2389"/>
      <c r="W774" s="2389"/>
      <c r="X774" s="2389"/>
      <c r="Y774" s="2389"/>
      <c r="Z774" s="2389"/>
      <c r="AA774" s="2389"/>
      <c r="AB774" s="238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391" t="s">
        <v>507</v>
      </c>
      <c r="I776" s="239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392">
        <f>VLOOKUP($H$776,$AO$710:$AP$712,2,FALSE)</f>
        <v>1</v>
      </c>
      <c r="AK778" s="239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685</v>
      </c>
      <c r="E782" s="2389" t="s">
        <v>1679</v>
      </c>
      <c r="F782" s="2389"/>
      <c r="G782" s="2389"/>
      <c r="H782" s="2389"/>
      <c r="I782" s="2389"/>
      <c r="J782" s="2389"/>
      <c r="K782" s="2389"/>
      <c r="L782" s="2389"/>
      <c r="M782" s="2389"/>
      <c r="N782" s="2389"/>
      <c r="O782" s="2389"/>
      <c r="P782" s="2389"/>
      <c r="Q782" s="2389"/>
      <c r="R782" s="2389"/>
      <c r="S782" s="2389"/>
      <c r="T782" s="2389"/>
      <c r="U782" s="2389"/>
      <c r="V782" s="2389"/>
      <c r="W782" s="2389"/>
      <c r="X782" s="2389"/>
      <c r="Y782" s="2389"/>
      <c r="Z782" s="2389"/>
      <c r="AA782" s="2389"/>
      <c r="AB782" s="2389"/>
      <c r="AC782" s="2389"/>
      <c r="AD782" s="2389"/>
      <c r="AE782" s="536"/>
      <c r="AF782" s="2390" t="s">
        <v>1398</v>
      </c>
      <c r="AG782" s="2390"/>
      <c r="AH782" s="2390"/>
      <c r="AI782" s="2390"/>
      <c r="AJ782" s="2390"/>
      <c r="AK782" s="2390"/>
      <c r="AL782" s="2390"/>
      <c r="AM782" s="611"/>
      <c r="AN782" s="680"/>
      <c r="AO782" s="549" t="s">
        <v>589</v>
      </c>
      <c r="AP782" s="669">
        <v>0</v>
      </c>
    </row>
    <row r="783" spans="1:74" s="568" customFormat="1" ht="13.7" customHeight="1">
      <c r="A783" s="549"/>
      <c r="B783" s="614"/>
      <c r="C783" s="936"/>
      <c r="D783" s="659"/>
      <c r="E783" s="2389"/>
      <c r="F783" s="2389"/>
      <c r="G783" s="2389"/>
      <c r="H783" s="2389"/>
      <c r="I783" s="2389"/>
      <c r="J783" s="2389"/>
      <c r="K783" s="2389"/>
      <c r="L783" s="2389"/>
      <c r="M783" s="2389"/>
      <c r="N783" s="2389"/>
      <c r="O783" s="2389"/>
      <c r="P783" s="2389"/>
      <c r="Q783" s="2389"/>
      <c r="R783" s="2389"/>
      <c r="S783" s="2389"/>
      <c r="T783" s="2389"/>
      <c r="U783" s="2389"/>
      <c r="V783" s="2389"/>
      <c r="W783" s="2389"/>
      <c r="X783" s="2389"/>
      <c r="Y783" s="2389"/>
      <c r="Z783" s="2389"/>
      <c r="AA783" s="2389"/>
      <c r="AB783" s="2389"/>
      <c r="AC783" s="2389"/>
      <c r="AD783" s="2389"/>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389"/>
      <c r="F784" s="2389"/>
      <c r="G784" s="2389"/>
      <c r="H784" s="2389"/>
      <c r="I784" s="2389"/>
      <c r="J784" s="2389"/>
      <c r="K784" s="2389"/>
      <c r="L784" s="2389"/>
      <c r="M784" s="2389"/>
      <c r="N784" s="2389"/>
      <c r="O784" s="2389"/>
      <c r="P784" s="2389"/>
      <c r="Q784" s="2389"/>
      <c r="R784" s="2389"/>
      <c r="S784" s="2389"/>
      <c r="T784" s="2389"/>
      <c r="U784" s="2389"/>
      <c r="V784" s="2389"/>
      <c r="W784" s="2389"/>
      <c r="X784" s="2389"/>
      <c r="Y784" s="2389"/>
      <c r="Z784" s="2389"/>
      <c r="AA784" s="2389"/>
      <c r="AB784" s="2389"/>
      <c r="AC784" s="2389"/>
      <c r="AD784" s="2389"/>
      <c r="AE784" s="536"/>
      <c r="AF784" s="536"/>
      <c r="AG784" s="536"/>
      <c r="AH784" s="536"/>
      <c r="AI784" s="536"/>
      <c r="AJ784" s="536"/>
      <c r="AK784" s="536"/>
      <c r="AL784" s="592"/>
      <c r="AM784" s="611"/>
      <c r="AN784" s="534"/>
      <c r="AO784" s="609" t="s">
        <v>507</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9"/>
      <c r="F785" s="2389"/>
      <c r="G785" s="2389"/>
      <c r="H785" s="2389"/>
      <c r="I785" s="2389"/>
      <c r="J785" s="2389"/>
      <c r="K785" s="2389"/>
      <c r="L785" s="2389"/>
      <c r="M785" s="2389"/>
      <c r="N785" s="2389"/>
      <c r="O785" s="2389"/>
      <c r="P785" s="2389"/>
      <c r="Q785" s="2389"/>
      <c r="R785" s="2389"/>
      <c r="S785" s="2389"/>
      <c r="T785" s="2389"/>
      <c r="U785" s="2389"/>
      <c r="V785" s="2389"/>
      <c r="W785" s="2389"/>
      <c r="X785" s="2389"/>
      <c r="Y785" s="2389"/>
      <c r="Z785" s="2389"/>
      <c r="AA785" s="2389"/>
      <c r="AB785" s="2389"/>
      <c r="AC785" s="2389"/>
      <c r="AD785" s="238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507</v>
      </c>
      <c r="E787" s="2530" t="s">
        <v>1684</v>
      </c>
      <c r="F787" s="2530"/>
      <c r="G787" s="2530"/>
      <c r="H787" s="2530"/>
      <c r="I787" s="2530"/>
      <c r="J787" s="2530"/>
      <c r="K787" s="2530"/>
      <c r="L787" s="2530"/>
      <c r="M787" s="2530"/>
      <c r="N787" s="2530"/>
      <c r="O787" s="2530"/>
      <c r="P787" s="2530"/>
      <c r="Q787" s="2530"/>
      <c r="R787" s="2530"/>
      <c r="S787" s="2530"/>
      <c r="T787" s="2530"/>
      <c r="U787" s="2530"/>
      <c r="V787" s="2530"/>
      <c r="W787" s="2530"/>
      <c r="X787" s="2530"/>
      <c r="Y787" s="2530"/>
      <c r="Z787" s="2530"/>
      <c r="AA787" s="2530"/>
      <c r="AB787" s="2530"/>
      <c r="AC787" s="2530"/>
      <c r="AD787" s="2530"/>
      <c r="AE787" s="536"/>
      <c r="AF787" s="2390" t="s">
        <v>1344</v>
      </c>
      <c r="AG787" s="2390"/>
      <c r="AH787" s="2390"/>
      <c r="AI787" s="2390"/>
      <c r="AJ787" s="2390"/>
      <c r="AK787" s="2390"/>
      <c r="AL787" s="2390"/>
      <c r="AM787" s="611"/>
      <c r="AN787" s="595"/>
    </row>
    <row r="788" spans="1:81" s="549" customFormat="1" ht="12.75" customHeight="1">
      <c r="B788" s="614"/>
      <c r="C788" s="936"/>
      <c r="D788" s="659"/>
      <c r="E788" s="2530"/>
      <c r="F788" s="2530"/>
      <c r="G788" s="2530"/>
      <c r="H788" s="2530"/>
      <c r="I788" s="2530"/>
      <c r="J788" s="2530"/>
      <c r="K788" s="2530"/>
      <c r="L788" s="2530"/>
      <c r="M788" s="2530"/>
      <c r="N788" s="2530"/>
      <c r="O788" s="2530"/>
      <c r="P788" s="2530"/>
      <c r="Q788" s="2530"/>
      <c r="R788" s="2530"/>
      <c r="S788" s="2530"/>
      <c r="T788" s="2530"/>
      <c r="U788" s="2530"/>
      <c r="V788" s="2530"/>
      <c r="W788" s="2530"/>
      <c r="X788" s="2530"/>
      <c r="Y788" s="2530"/>
      <c r="Z788" s="2530"/>
      <c r="AA788" s="2530"/>
      <c r="AB788" s="2530"/>
      <c r="AC788" s="2530"/>
      <c r="AD788" s="2530"/>
      <c r="AE788" s="592"/>
      <c r="AF788" s="592"/>
      <c r="AG788" s="592"/>
      <c r="AH788" s="592"/>
      <c r="AI788" s="592"/>
      <c r="AJ788" s="592"/>
      <c r="AK788" s="592"/>
      <c r="AL788" s="592"/>
      <c r="AM788" s="611"/>
      <c r="AN788" s="595"/>
    </row>
    <row r="789" spans="1:81" s="549" customFormat="1" ht="12.75" customHeight="1">
      <c r="B789" s="614"/>
      <c r="C789" s="936"/>
      <c r="D789" s="659"/>
      <c r="E789" s="2530"/>
      <c r="F789" s="2530"/>
      <c r="G789" s="2530"/>
      <c r="H789" s="2530"/>
      <c r="I789" s="2530"/>
      <c r="J789" s="2530"/>
      <c r="K789" s="2530"/>
      <c r="L789" s="2530"/>
      <c r="M789" s="2530"/>
      <c r="N789" s="2530"/>
      <c r="O789" s="2530"/>
      <c r="P789" s="2530"/>
      <c r="Q789" s="2530"/>
      <c r="R789" s="2530"/>
      <c r="S789" s="2530"/>
      <c r="T789" s="2530"/>
      <c r="U789" s="2530"/>
      <c r="V789" s="2530"/>
      <c r="W789" s="2530"/>
      <c r="X789" s="2530"/>
      <c r="Y789" s="2530"/>
      <c r="Z789" s="2530"/>
      <c r="AA789" s="2530"/>
      <c r="AB789" s="2530"/>
      <c r="AC789" s="2530"/>
      <c r="AD789" s="2530"/>
      <c r="AE789" s="592"/>
      <c r="AF789" s="592"/>
      <c r="AG789" s="592"/>
      <c r="AH789" s="592"/>
      <c r="AI789" s="592"/>
      <c r="AJ789" s="592"/>
      <c r="AK789" s="592"/>
      <c r="AL789" s="592"/>
      <c r="AM789" s="611"/>
      <c r="AN789" s="595"/>
    </row>
    <row r="790" spans="1:81" s="549" customFormat="1" ht="12.75" customHeight="1">
      <c r="B790" s="614"/>
      <c r="C790" s="936"/>
      <c r="D790" s="659"/>
      <c r="E790" s="2530"/>
      <c r="F790" s="2530"/>
      <c r="G790" s="2530"/>
      <c r="H790" s="2530"/>
      <c r="I790" s="2530"/>
      <c r="J790" s="2530"/>
      <c r="K790" s="2530"/>
      <c r="L790" s="2530"/>
      <c r="M790" s="2530"/>
      <c r="N790" s="2530"/>
      <c r="O790" s="2530"/>
      <c r="P790" s="2530"/>
      <c r="Q790" s="2530"/>
      <c r="R790" s="2530"/>
      <c r="S790" s="2530"/>
      <c r="T790" s="2530"/>
      <c r="U790" s="2530"/>
      <c r="V790" s="2530"/>
      <c r="W790" s="2530"/>
      <c r="X790" s="2530"/>
      <c r="Y790" s="2530"/>
      <c r="Z790" s="2530"/>
      <c r="AA790" s="2530"/>
      <c r="AB790" s="2530"/>
      <c r="AC790" s="2530"/>
      <c r="AD790" s="253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391" t="s">
        <v>589</v>
      </c>
      <c r="I792" s="239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392">
        <f>VLOOKUP($H$792,$AO$782:$AP$784,2,FALSE)</f>
        <v>0</v>
      </c>
      <c r="AK794" s="2393"/>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589</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685</v>
      </c>
      <c r="E798" s="2389" t="s">
        <v>2631</v>
      </c>
      <c r="F798" s="2389"/>
      <c r="G798" s="2389"/>
      <c r="H798" s="2389"/>
      <c r="I798" s="2389"/>
      <c r="J798" s="2389"/>
      <c r="K798" s="2389"/>
      <c r="L798" s="2389"/>
      <c r="M798" s="2389"/>
      <c r="N798" s="2389"/>
      <c r="O798" s="2389"/>
      <c r="P798" s="2389"/>
      <c r="Q798" s="2389"/>
      <c r="R798" s="2389"/>
      <c r="S798" s="2389"/>
      <c r="T798" s="2389"/>
      <c r="U798" s="2389"/>
      <c r="V798" s="2389"/>
      <c r="W798" s="2389"/>
      <c r="X798" s="2389"/>
      <c r="Y798" s="2389"/>
      <c r="Z798" s="2389"/>
      <c r="AA798" s="2389"/>
      <c r="AB798" s="2389"/>
      <c r="AC798" s="2389"/>
      <c r="AD798" s="2389"/>
      <c r="AE798" s="536"/>
      <c r="AF798" s="2390" t="s">
        <v>1344</v>
      </c>
      <c r="AG798" s="2390"/>
      <c r="AH798" s="2390"/>
      <c r="AI798" s="2390"/>
      <c r="AJ798" s="2390"/>
      <c r="AK798" s="2390"/>
      <c r="AL798" s="2390"/>
      <c r="AM798" s="611"/>
      <c r="AN798" s="680"/>
      <c r="AO798" s="609" t="s">
        <v>543</v>
      </c>
      <c r="AP798" s="549">
        <v>3</v>
      </c>
      <c r="AT798" s="670"/>
      <c r="AU798" s="670"/>
      <c r="AV798" s="670"/>
      <c r="AW798" s="670"/>
      <c r="AX798" s="670"/>
      <c r="AY798" s="670"/>
      <c r="AZ798" s="670"/>
    </row>
    <row r="799" spans="1:81" s="568" customFormat="1" ht="13.7" customHeight="1">
      <c r="A799" s="549"/>
      <c r="B799" s="614"/>
      <c r="C799" s="936"/>
      <c r="D799" s="659"/>
      <c r="E799" s="2389"/>
      <c r="F799" s="2389"/>
      <c r="G799" s="2389"/>
      <c r="H799" s="2389"/>
      <c r="I799" s="2389"/>
      <c r="J799" s="2389"/>
      <c r="K799" s="2389"/>
      <c r="L799" s="2389"/>
      <c r="M799" s="2389"/>
      <c r="N799" s="2389"/>
      <c r="O799" s="2389"/>
      <c r="P799" s="2389"/>
      <c r="Q799" s="2389"/>
      <c r="R799" s="2389"/>
      <c r="S799" s="2389"/>
      <c r="T799" s="2389"/>
      <c r="U799" s="2389"/>
      <c r="V799" s="2389"/>
      <c r="W799" s="2389"/>
      <c r="X799" s="2389"/>
      <c r="Y799" s="2389"/>
      <c r="Z799" s="2389"/>
      <c r="AA799" s="2389"/>
      <c r="AB799" s="2389"/>
      <c r="AC799" s="2389"/>
      <c r="AD799" s="238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9"/>
      <c r="F800" s="2389"/>
      <c r="G800" s="2389"/>
      <c r="H800" s="2389"/>
      <c r="I800" s="2389"/>
      <c r="J800" s="2389"/>
      <c r="K800" s="2389"/>
      <c r="L800" s="2389"/>
      <c r="M800" s="2389"/>
      <c r="N800" s="2389"/>
      <c r="O800" s="2389"/>
      <c r="P800" s="2389"/>
      <c r="Q800" s="2389"/>
      <c r="R800" s="2389"/>
      <c r="S800" s="2389"/>
      <c r="T800" s="2389"/>
      <c r="U800" s="2389"/>
      <c r="V800" s="2389"/>
      <c r="W800" s="2389"/>
      <c r="X800" s="2389"/>
      <c r="Y800" s="2389"/>
      <c r="Z800" s="2389"/>
      <c r="AA800" s="2389"/>
      <c r="AB800" s="2389"/>
      <c r="AC800" s="2389"/>
      <c r="AD800" s="238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9"/>
      <c r="F801" s="2389"/>
      <c r="G801" s="2389"/>
      <c r="H801" s="2389"/>
      <c r="I801" s="2389"/>
      <c r="J801" s="2389"/>
      <c r="K801" s="2389"/>
      <c r="L801" s="2389"/>
      <c r="M801" s="2389"/>
      <c r="N801" s="2389"/>
      <c r="O801" s="2389"/>
      <c r="P801" s="2389"/>
      <c r="Q801" s="2389"/>
      <c r="R801" s="2389"/>
      <c r="S801" s="2389"/>
      <c r="T801" s="2389"/>
      <c r="U801" s="2389"/>
      <c r="V801" s="2389"/>
      <c r="W801" s="2389"/>
      <c r="X801" s="2389"/>
      <c r="Y801" s="2389"/>
      <c r="Z801" s="2389"/>
      <c r="AA801" s="2389"/>
      <c r="AB801" s="2389"/>
      <c r="AC801" s="2389"/>
      <c r="AD801" s="238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391" t="s">
        <v>543</v>
      </c>
      <c r="I803" s="239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392">
        <f>VLOOKUP($H$803,$AO$797:$AP$798,2,FALSE)</f>
        <v>3</v>
      </c>
      <c r="AK805" s="239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389" t="s">
        <v>2593</v>
      </c>
      <c r="F809" s="2389"/>
      <c r="G809" s="2389"/>
      <c r="H809" s="2389"/>
      <c r="I809" s="2389"/>
      <c r="J809" s="2389"/>
      <c r="K809" s="2389"/>
      <c r="L809" s="2389"/>
      <c r="M809" s="2389"/>
      <c r="N809" s="2389"/>
      <c r="O809" s="2389"/>
      <c r="P809" s="2389"/>
      <c r="Q809" s="2389"/>
      <c r="R809" s="2389"/>
      <c r="S809" s="2389"/>
      <c r="T809" s="2389"/>
      <c r="U809" s="2389"/>
      <c r="V809" s="2389"/>
      <c r="W809" s="2389"/>
      <c r="X809" s="2389"/>
      <c r="Y809" s="2389"/>
      <c r="Z809" s="2389"/>
      <c r="AA809" s="2389"/>
      <c r="AB809" s="2389"/>
      <c r="AC809" s="2389"/>
      <c r="AD809" s="2389"/>
      <c r="AE809" s="550"/>
      <c r="AF809" s="2390" t="s">
        <v>1369</v>
      </c>
      <c r="AG809" s="2390"/>
      <c r="AH809" s="2390"/>
      <c r="AI809" s="2390"/>
      <c r="AJ809" s="2390"/>
      <c r="AK809" s="2390"/>
      <c r="AL809" s="2390"/>
      <c r="AN809" s="595"/>
    </row>
    <row r="810" spans="1:81" s="549" customFormat="1" ht="12.75" customHeight="1">
      <c r="B810" s="614"/>
      <c r="C810" s="684"/>
      <c r="D810" s="659"/>
      <c r="E810" s="2389"/>
      <c r="F810" s="2389"/>
      <c r="G810" s="2389"/>
      <c r="H810" s="2389"/>
      <c r="I810" s="2389"/>
      <c r="J810" s="2389"/>
      <c r="K810" s="2389"/>
      <c r="L810" s="2389"/>
      <c r="M810" s="2389"/>
      <c r="N810" s="2389"/>
      <c r="O810" s="2389"/>
      <c r="P810" s="2389"/>
      <c r="Q810" s="2389"/>
      <c r="R810" s="2389"/>
      <c r="S810" s="2389"/>
      <c r="T810" s="2389"/>
      <c r="U810" s="2389"/>
      <c r="V810" s="2389"/>
      <c r="W810" s="2389"/>
      <c r="X810" s="2389"/>
      <c r="Y810" s="2389"/>
      <c r="Z810" s="2389"/>
      <c r="AA810" s="2389"/>
      <c r="AB810" s="2389"/>
      <c r="AC810" s="2389"/>
      <c r="AD810" s="238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391" t="s">
        <v>589</v>
      </c>
      <c r="I812" s="239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392">
        <f>IF(H812="Yes",5,0)</f>
        <v>0</v>
      </c>
      <c r="AK814" s="239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392">
        <f>IF(($AJ$634+$AJ$653+$AJ$665+$AJ$700+$AJ$724+$AJ$738+$AJ$750+$AJ$766+$AJ$778+$AJ$794+AJ805+AJ814)&gt;10,10,($AJ$634+$AJ$653+$AJ$665+$AJ$700+$AJ$724+$AJ$738+$AJ$750+$AJ$766+$AJ$778+$AJ$794+AJ805+AJ814))</f>
        <v>10</v>
      </c>
      <c r="AL816" s="2438"/>
      <c r="AM816" s="239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9" t="s">
        <v>1556</v>
      </c>
      <c r="B819" s="2520"/>
      <c r="C819" s="2520"/>
      <c r="D819" s="2520"/>
      <c r="E819" s="2520"/>
      <c r="F819" s="2520"/>
      <c r="G819" s="2520"/>
      <c r="H819" s="2520"/>
      <c r="I819" s="2520"/>
      <c r="J819" s="2520"/>
      <c r="K819" s="2520"/>
      <c r="L819" s="2520"/>
      <c r="M819" s="2520"/>
      <c r="N819" s="2520"/>
      <c r="O819" s="2520"/>
      <c r="P819" s="2520"/>
      <c r="Q819" s="2520"/>
      <c r="R819" s="2520"/>
      <c r="S819" s="2520"/>
      <c r="T819" s="2520"/>
      <c r="U819" s="2520"/>
      <c r="V819" s="2520"/>
      <c r="W819" s="2520"/>
      <c r="X819" s="2520"/>
      <c r="Y819" s="2520"/>
      <c r="Z819" s="2520"/>
      <c r="AA819" s="2520"/>
      <c r="AB819" s="2520"/>
      <c r="AC819" s="2520"/>
      <c r="AD819" s="2520"/>
      <c r="AE819" s="2520"/>
      <c r="AF819" s="2520"/>
      <c r="AG819" s="2520"/>
      <c r="AH819" s="2520"/>
      <c r="AI819" s="2520"/>
      <c r="AJ819" s="2520"/>
      <c r="AK819" s="2520"/>
      <c r="AL819" s="2520"/>
      <c r="AM819" s="2520"/>
    </row>
    <row r="820" spans="1:43">
      <c r="A820" s="2521"/>
      <c r="B820" s="2521"/>
      <c r="C820" s="2521"/>
      <c r="D820" s="2521"/>
      <c r="E820" s="2521"/>
      <c r="F820" s="2521"/>
      <c r="G820" s="2521"/>
      <c r="H820" s="2521"/>
      <c r="I820" s="2521"/>
      <c r="J820" s="2521"/>
      <c r="K820" s="2521"/>
      <c r="L820" s="2521"/>
      <c r="M820" s="2521"/>
      <c r="N820" s="2521"/>
      <c r="O820" s="2521"/>
      <c r="P820" s="2521"/>
      <c r="Q820" s="2521"/>
      <c r="R820" s="2521"/>
      <c r="S820" s="2521"/>
      <c r="T820" s="2521"/>
      <c r="U820" s="2521"/>
      <c r="V820" s="2521"/>
      <c r="W820" s="2521"/>
      <c r="X820" s="2521"/>
      <c r="Y820" s="2521"/>
      <c r="Z820" s="2521"/>
      <c r="AA820" s="2521"/>
      <c r="AB820" s="2521"/>
      <c r="AC820" s="2521"/>
      <c r="AD820" s="2521"/>
      <c r="AE820" s="2521"/>
      <c r="AF820" s="2521"/>
      <c r="AG820" s="2521"/>
      <c r="AH820" s="2521"/>
      <c r="AI820" s="2521"/>
      <c r="AJ820" s="2521"/>
      <c r="AK820" s="2521"/>
      <c r="AL820" s="2521"/>
      <c r="AM820" s="2521"/>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5"/>
      <c r="B822" s="2465"/>
      <c r="C822" s="2465"/>
      <c r="D822" s="2465"/>
      <c r="E822" s="2465"/>
      <c r="F822" s="2465"/>
      <c r="G822" s="2465"/>
      <c r="H822" s="2465"/>
      <c r="I822" s="2465"/>
      <c r="J822" s="2465"/>
      <c r="K822" s="2465"/>
      <c r="L822" s="2465"/>
      <c r="M822" s="2465"/>
      <c r="N822" s="2465"/>
      <c r="O822" s="2465"/>
      <c r="P822" s="2465"/>
      <c r="Q822" s="2465"/>
      <c r="R822" s="2465"/>
      <c r="S822" s="2465"/>
      <c r="T822" s="2465"/>
      <c r="U822" s="2465"/>
      <c r="V822" s="2465"/>
      <c r="W822" s="2465"/>
      <c r="X822" s="2465"/>
      <c r="Y822" s="2465"/>
      <c r="Z822" s="2465"/>
      <c r="AA822" s="2465"/>
      <c r="AB822" s="2465"/>
      <c r="AC822" s="2465"/>
      <c r="AD822" s="2465"/>
      <c r="AE822" s="2465"/>
      <c r="AF822" s="2465"/>
      <c r="AG822" s="2465"/>
      <c r="AH822" s="2465"/>
      <c r="AI822" s="2465"/>
      <c r="AJ822" s="2465"/>
      <c r="AK822" s="2465"/>
      <c r="AL822" s="2465"/>
      <c r="AM822" s="2465"/>
      <c r="AP822" s="812"/>
      <c r="AQ822" s="812"/>
    </row>
    <row r="823" spans="1:43">
      <c r="A823" s="2465"/>
      <c r="B823" s="2465"/>
      <c r="C823" s="2465"/>
      <c r="D823" s="2465"/>
      <c r="E823" s="2465"/>
      <c r="F823" s="2465"/>
      <c r="G823" s="2465"/>
      <c r="H823" s="2465"/>
      <c r="I823" s="2465"/>
      <c r="J823" s="2465"/>
      <c r="K823" s="2465"/>
      <c r="L823" s="2465"/>
      <c r="M823" s="2465"/>
      <c r="N823" s="2465"/>
      <c r="O823" s="2465"/>
      <c r="P823" s="2465"/>
      <c r="Q823" s="2465"/>
      <c r="R823" s="2465"/>
      <c r="S823" s="2465"/>
      <c r="T823" s="2465"/>
      <c r="U823" s="2465"/>
      <c r="V823" s="2465"/>
      <c r="W823" s="2465"/>
      <c r="X823" s="2465"/>
      <c r="Y823" s="2465"/>
      <c r="Z823" s="2465"/>
      <c r="AA823" s="2465"/>
      <c r="AB823" s="2465"/>
      <c r="AC823" s="2465"/>
      <c r="AD823" s="2465"/>
      <c r="AE823" s="2465"/>
      <c r="AF823" s="2465"/>
      <c r="AG823" s="2465"/>
      <c r="AH823" s="2465"/>
      <c r="AI823" s="2465"/>
      <c r="AJ823" s="2465"/>
      <c r="AK823" s="2465"/>
      <c r="AL823" s="2465"/>
      <c r="AM823" s="246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2" t="s">
        <v>1557</v>
      </c>
      <c r="U824" s="2523"/>
      <c r="V824" s="2523"/>
      <c r="W824" s="2523"/>
      <c r="X824" s="2523"/>
      <c r="Y824" s="2524"/>
      <c r="Z824" s="2522" t="s">
        <v>1558</v>
      </c>
      <c r="AA824" s="2523"/>
      <c r="AB824" s="2523"/>
      <c r="AC824" s="2523"/>
      <c r="AD824" s="2523"/>
      <c r="AE824" s="2524"/>
      <c r="AF824" s="2522" t="s">
        <v>1559</v>
      </c>
      <c r="AG824" s="2523"/>
      <c r="AH824" s="2523"/>
      <c r="AI824" s="2523"/>
      <c r="AJ824" s="2523"/>
      <c r="AK824" s="2524"/>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5"/>
      <c r="U825" s="2526"/>
      <c r="V825" s="2526"/>
      <c r="W825" s="2526"/>
      <c r="X825" s="2526"/>
      <c r="Y825" s="2527"/>
      <c r="Z825" s="2525"/>
      <c r="AA825" s="2526"/>
      <c r="AB825" s="2526"/>
      <c r="AC825" s="2526"/>
      <c r="AD825" s="2526"/>
      <c r="AE825" s="2527"/>
      <c r="AF825" s="2525"/>
      <c r="AG825" s="2526"/>
      <c r="AH825" s="2526"/>
      <c r="AI825" s="2526"/>
      <c r="AJ825" s="2526"/>
      <c r="AK825" s="2527"/>
      <c r="AL825" s="814"/>
      <c r="AM825" s="594"/>
      <c r="AO825" s="812"/>
      <c r="AP825" s="812"/>
      <c r="AQ825" s="812"/>
    </row>
    <row r="826" spans="1:43">
      <c r="A826" s="815" t="s">
        <v>755</v>
      </c>
      <c r="B826" s="2480" t="str">
        <f>B7</f>
        <v xml:space="preserve">Acquisition/Rehabilitation Project Priorities </v>
      </c>
      <c r="C826" s="2480"/>
      <c r="D826" s="2480"/>
      <c r="E826" s="2480"/>
      <c r="F826" s="2480"/>
      <c r="G826" s="2480"/>
      <c r="H826" s="2480"/>
      <c r="I826" s="2480"/>
      <c r="J826" s="2480"/>
      <c r="K826" s="2480"/>
      <c r="L826" s="2480"/>
      <c r="M826" s="2480"/>
      <c r="N826" s="2480"/>
      <c r="O826" s="2480"/>
      <c r="P826" s="2480"/>
      <c r="Q826" s="2480"/>
      <c r="R826" s="2480"/>
      <c r="S826" s="2481"/>
      <c r="T826" s="2507">
        <f>AK61</f>
        <v>0</v>
      </c>
      <c r="U826" s="2484"/>
      <c r="V826" s="2484"/>
      <c r="W826" s="2484"/>
      <c r="X826" s="2484"/>
      <c r="Y826" s="2485"/>
      <c r="Z826" s="2483">
        <v>20</v>
      </c>
      <c r="AA826" s="2484"/>
      <c r="AB826" s="2484"/>
      <c r="AC826" s="2484"/>
      <c r="AD826" s="2484"/>
      <c r="AE826" s="2485"/>
      <c r="AF826" s="2463">
        <f>IF(T826&gt;Z826,Z826,T826)</f>
        <v>0</v>
      </c>
      <c r="AG826" s="2463"/>
      <c r="AH826" s="2463"/>
      <c r="AI826" s="2463"/>
      <c r="AJ826" s="2463"/>
      <c r="AK826" s="2463"/>
      <c r="AL826" s="814"/>
      <c r="AM826" s="594"/>
      <c r="AO826" s="812"/>
      <c r="AP826" s="812"/>
      <c r="AQ826" s="812"/>
    </row>
    <row r="827" spans="1:43">
      <c r="A827" s="815" t="s">
        <v>1530</v>
      </c>
      <c r="B827" s="2480" t="s">
        <v>1305</v>
      </c>
      <c r="C827" s="2480"/>
      <c r="D827" s="2480"/>
      <c r="E827" s="2480"/>
      <c r="F827" s="2480"/>
      <c r="G827" s="2480"/>
      <c r="H827" s="2480"/>
      <c r="I827" s="2480"/>
      <c r="J827" s="2480"/>
      <c r="K827" s="2480"/>
      <c r="L827" s="2480"/>
      <c r="M827" s="2480"/>
      <c r="N827" s="2480"/>
      <c r="O827" s="2480"/>
      <c r="P827" s="2480"/>
      <c r="Q827" s="2480"/>
      <c r="R827" s="2480"/>
      <c r="S827" s="2481"/>
      <c r="T827" s="2507">
        <f>AK83</f>
        <v>10</v>
      </c>
      <c r="U827" s="2484"/>
      <c r="V827" s="2484"/>
      <c r="W827" s="2484"/>
      <c r="X827" s="2484"/>
      <c r="Y827" s="2485"/>
      <c r="Z827" s="2483">
        <v>10</v>
      </c>
      <c r="AA827" s="2484"/>
      <c r="AB827" s="2484"/>
      <c r="AC827" s="2484"/>
      <c r="AD827" s="2484"/>
      <c r="AE827" s="2485"/>
      <c r="AF827" s="2463">
        <f>IF(T827&gt;Z827,Z827,T827)</f>
        <v>10</v>
      </c>
      <c r="AG827" s="2463"/>
      <c r="AH827" s="2463"/>
      <c r="AI827" s="2463"/>
      <c r="AJ827" s="2463"/>
      <c r="AK827" s="2463"/>
      <c r="AL827" s="814"/>
      <c r="AM827" s="594"/>
      <c r="AO827" s="812"/>
      <c r="AP827" s="812"/>
      <c r="AQ827" s="812"/>
    </row>
    <row r="828" spans="1:43">
      <c r="A828" s="815" t="s">
        <v>1539</v>
      </c>
      <c r="B828" s="2480" t="s">
        <v>1315</v>
      </c>
      <c r="C828" s="2480"/>
      <c r="D828" s="2480"/>
      <c r="E828" s="2480"/>
      <c r="F828" s="2480"/>
      <c r="G828" s="2480"/>
      <c r="H828" s="2480"/>
      <c r="I828" s="2480"/>
      <c r="J828" s="2480"/>
      <c r="K828" s="2480"/>
      <c r="L828" s="2480"/>
      <c r="M828" s="2480"/>
      <c r="N828" s="2480"/>
      <c r="O828" s="2480"/>
      <c r="P828" s="2480"/>
      <c r="Q828" s="2480"/>
      <c r="R828" s="2480"/>
      <c r="S828" s="2481"/>
      <c r="T828" s="2507">
        <f ca="1">AK108</f>
        <v>20</v>
      </c>
      <c r="U828" s="2484"/>
      <c r="V828" s="2484"/>
      <c r="W828" s="2484"/>
      <c r="X828" s="2484"/>
      <c r="Y828" s="2485"/>
      <c r="Z828" s="2483">
        <v>20</v>
      </c>
      <c r="AA828" s="2484"/>
      <c r="AB828" s="2484"/>
      <c r="AC828" s="2484"/>
      <c r="AD828" s="2484"/>
      <c r="AE828" s="2485"/>
      <c r="AF828" s="2463">
        <f ca="1">IF(T828&gt;Z828,Z828,T828)</f>
        <v>20</v>
      </c>
      <c r="AG828" s="2463"/>
      <c r="AH828" s="2463"/>
      <c r="AI828" s="2463"/>
      <c r="AJ828" s="2463"/>
      <c r="AK828" s="2463"/>
      <c r="AL828" s="814"/>
      <c r="AM828" s="594"/>
      <c r="AO828" s="812"/>
      <c r="AP828" s="812"/>
      <c r="AQ828" s="812"/>
    </row>
    <row r="829" spans="1:43">
      <c r="A829" s="815" t="s">
        <v>1560</v>
      </c>
      <c r="B829" s="2480" t="s">
        <v>1325</v>
      </c>
      <c r="C829" s="2480"/>
      <c r="D829" s="2480"/>
      <c r="E829" s="2480"/>
      <c r="F829" s="2480"/>
      <c r="G829" s="2480"/>
      <c r="H829" s="2480"/>
      <c r="I829" s="2480"/>
      <c r="J829" s="2480"/>
      <c r="K829" s="2480"/>
      <c r="L829" s="2480"/>
      <c r="M829" s="2480"/>
      <c r="N829" s="2480"/>
      <c r="O829" s="2480"/>
      <c r="P829" s="2480"/>
      <c r="Q829" s="2480"/>
      <c r="R829" s="2480"/>
      <c r="S829" s="2481"/>
      <c r="T829" s="2507">
        <f>AK142</f>
        <v>10</v>
      </c>
      <c r="U829" s="2484"/>
      <c r="V829" s="2484"/>
      <c r="W829" s="2484"/>
      <c r="X829" s="2484"/>
      <c r="Y829" s="2485"/>
      <c r="Z829" s="2483">
        <v>10</v>
      </c>
      <c r="AA829" s="2484"/>
      <c r="AB829" s="2484"/>
      <c r="AC829" s="2484"/>
      <c r="AD829" s="2484"/>
      <c r="AE829" s="2485"/>
      <c r="AF829" s="2463">
        <f>IF(T829&gt;Z829,Z829,T829)</f>
        <v>10</v>
      </c>
      <c r="AG829" s="2463"/>
      <c r="AH829" s="2463"/>
      <c r="AI829" s="2463"/>
      <c r="AJ829" s="2463"/>
      <c r="AK829" s="2463"/>
      <c r="AL829" s="814"/>
      <c r="AM829" s="594"/>
      <c r="AO829" s="812"/>
      <c r="AP829" s="812"/>
      <c r="AQ829" s="812"/>
    </row>
    <row r="830" spans="1:43">
      <c r="A830" s="816" t="s">
        <v>1561</v>
      </c>
      <c r="B830" s="2480" t="s">
        <v>1562</v>
      </c>
      <c r="C830" s="2480"/>
      <c r="D830" s="2480"/>
      <c r="E830" s="2480"/>
      <c r="F830" s="2480"/>
      <c r="G830" s="2480"/>
      <c r="H830" s="2480"/>
      <c r="I830" s="2480"/>
      <c r="J830" s="2480"/>
      <c r="K830" s="2480"/>
      <c r="L830" s="2480"/>
      <c r="M830" s="2480"/>
      <c r="N830" s="2480"/>
      <c r="O830" s="2480"/>
      <c r="P830" s="2480"/>
      <c r="Q830" s="2480"/>
      <c r="R830" s="2480"/>
      <c r="S830" s="2481"/>
      <c r="T830" s="2482">
        <f>SUM(T831:Y832)</f>
        <v>10</v>
      </c>
      <c r="U830" s="2482"/>
      <c r="V830" s="2482"/>
      <c r="W830" s="2482"/>
      <c r="X830" s="2482"/>
      <c r="Y830" s="2482"/>
      <c r="Z830" s="2463">
        <v>10</v>
      </c>
      <c r="AA830" s="2463"/>
      <c r="AB830" s="2463"/>
      <c r="AC830" s="2463"/>
      <c r="AD830" s="2463"/>
      <c r="AE830" s="2463"/>
      <c r="AF830" s="2463">
        <f>IF(T830&gt;Z830,Z830,T830)</f>
        <v>10</v>
      </c>
      <c r="AG830" s="2463"/>
      <c r="AH830" s="2463"/>
      <c r="AI830" s="2463"/>
      <c r="AJ830" s="2463"/>
      <c r="AK830" s="2463"/>
      <c r="AL830" s="814"/>
      <c r="AM830" s="594"/>
    </row>
    <row r="831" spans="1:43">
      <c r="A831" s="535"/>
      <c r="B831" s="599"/>
      <c r="C831" s="2486" t="s">
        <v>1563</v>
      </c>
      <c r="D831" s="2486"/>
      <c r="E831" s="2486"/>
      <c r="F831" s="2486"/>
      <c r="G831" s="2486"/>
      <c r="H831" s="2486"/>
      <c r="I831" s="2486"/>
      <c r="J831" s="2486"/>
      <c r="K831" s="2486"/>
      <c r="L831" s="2486"/>
      <c r="M831" s="2486"/>
      <c r="N831" s="2486"/>
      <c r="O831" s="2486"/>
      <c r="P831" s="2486"/>
      <c r="Q831" s="2486"/>
      <c r="R831" s="2486"/>
      <c r="S831" s="2487"/>
      <c r="T831" s="2488">
        <f>AJ165</f>
        <v>7</v>
      </c>
      <c r="U831" s="2488"/>
      <c r="V831" s="2488"/>
      <c r="W831" s="2488"/>
      <c r="X831" s="2488"/>
      <c r="Y831" s="2488"/>
      <c r="Z831" s="2489">
        <v>7</v>
      </c>
      <c r="AA831" s="2489"/>
      <c r="AB831" s="2489"/>
      <c r="AC831" s="2489"/>
      <c r="AD831" s="2489"/>
      <c r="AE831" s="2489"/>
      <c r="AF831" s="2490"/>
      <c r="AG831" s="2490"/>
      <c r="AH831" s="2490"/>
      <c r="AI831" s="2490"/>
      <c r="AJ831" s="2490"/>
      <c r="AK831" s="2490"/>
      <c r="AL831" s="814"/>
      <c r="AM831" s="594"/>
    </row>
    <row r="832" spans="1:43">
      <c r="A832" s="598"/>
      <c r="B832" s="599"/>
      <c r="C832" s="2486" t="s">
        <v>1564</v>
      </c>
      <c r="D832" s="2486"/>
      <c r="E832" s="2486"/>
      <c r="F832" s="2486"/>
      <c r="G832" s="2486"/>
      <c r="H832" s="2486"/>
      <c r="I832" s="2486"/>
      <c r="J832" s="2486"/>
      <c r="K832" s="2486"/>
      <c r="L832" s="2486"/>
      <c r="M832" s="2486"/>
      <c r="N832" s="2486"/>
      <c r="O832" s="2486"/>
      <c r="P832" s="2486"/>
      <c r="Q832" s="2486"/>
      <c r="R832" s="2486"/>
      <c r="S832" s="2487"/>
      <c r="T832" s="2488">
        <f>AJ179</f>
        <v>3</v>
      </c>
      <c r="U832" s="2488"/>
      <c r="V832" s="2488"/>
      <c r="W832" s="2488"/>
      <c r="X832" s="2488"/>
      <c r="Y832" s="2488"/>
      <c r="Z832" s="2489">
        <v>3</v>
      </c>
      <c r="AA832" s="2489"/>
      <c r="AB832" s="2489"/>
      <c r="AC832" s="2489"/>
      <c r="AD832" s="2489"/>
      <c r="AE832" s="2489"/>
      <c r="AF832" s="2490"/>
      <c r="AG832" s="2490"/>
      <c r="AH832" s="2490"/>
      <c r="AI832" s="2490"/>
      <c r="AJ832" s="2490"/>
      <c r="AK832" s="2490"/>
      <c r="AL832" s="814"/>
      <c r="AM832" s="594"/>
      <c r="AO832" s="549"/>
    </row>
    <row r="833" spans="1:81">
      <c r="A833" s="816" t="s">
        <v>1353</v>
      </c>
      <c r="B833" s="2480" t="s">
        <v>1565</v>
      </c>
      <c r="C833" s="2480"/>
      <c r="D833" s="2480"/>
      <c r="E833" s="2480"/>
      <c r="F833" s="2480"/>
      <c r="G833" s="2480"/>
      <c r="H833" s="2480"/>
      <c r="I833" s="2480"/>
      <c r="J833" s="2480"/>
      <c r="K833" s="2480"/>
      <c r="L833" s="2480"/>
      <c r="M833" s="2480"/>
      <c r="N833" s="2480"/>
      <c r="O833" s="2480"/>
      <c r="P833" s="2480"/>
      <c r="Q833" s="2480"/>
      <c r="R833" s="2480"/>
      <c r="S833" s="2481"/>
      <c r="T833" s="2482">
        <f>AK190</f>
        <v>10</v>
      </c>
      <c r="U833" s="2482"/>
      <c r="V833" s="2482"/>
      <c r="W833" s="2482"/>
      <c r="X833" s="2482"/>
      <c r="Y833" s="2482"/>
      <c r="Z833" s="2463">
        <v>10</v>
      </c>
      <c r="AA833" s="2463"/>
      <c r="AB833" s="2463"/>
      <c r="AC833" s="2463"/>
      <c r="AD833" s="2463"/>
      <c r="AE833" s="2463"/>
      <c r="AF833" s="2463">
        <f>IF(T833&gt;Z833,Z833,T833)</f>
        <v>10</v>
      </c>
      <c r="AG833" s="2463"/>
      <c r="AH833" s="2463"/>
      <c r="AI833" s="2463"/>
      <c r="AJ833" s="2463"/>
      <c r="AK833" s="2463"/>
      <c r="AL833" s="814"/>
      <c r="AM833" s="594"/>
    </row>
    <row r="834" spans="1:81" hidden="1">
      <c r="A834" s="815" t="s">
        <v>1361</v>
      </c>
      <c r="B834" s="2480" t="s">
        <v>1362</v>
      </c>
      <c r="C834" s="2480"/>
      <c r="D834" s="2480"/>
      <c r="E834" s="2480"/>
      <c r="F834" s="2480"/>
      <c r="G834" s="2480"/>
      <c r="H834" s="2480"/>
      <c r="I834" s="2480"/>
      <c r="J834" s="2480"/>
      <c r="K834" s="2480"/>
      <c r="L834" s="2480"/>
      <c r="M834" s="2480"/>
      <c r="N834" s="2480"/>
      <c r="O834" s="2480"/>
      <c r="P834" s="2480"/>
      <c r="Q834" s="2480"/>
      <c r="R834" s="2480"/>
      <c r="S834" s="2481"/>
      <c r="T834" s="2482">
        <f>AK272</f>
        <v>0</v>
      </c>
      <c r="U834" s="2482"/>
      <c r="V834" s="2482"/>
      <c r="W834" s="2482"/>
      <c r="X834" s="2482"/>
      <c r="Y834" s="2482"/>
      <c r="Z834" s="2483">
        <v>8</v>
      </c>
      <c r="AA834" s="2484"/>
      <c r="AB834" s="2484"/>
      <c r="AC834" s="2484"/>
      <c r="AD834" s="2484"/>
      <c r="AE834" s="2485"/>
      <c r="AF834" s="2463"/>
      <c r="AG834" s="2463"/>
      <c r="AH834" s="2463"/>
      <c r="AI834" s="2463"/>
      <c r="AJ834" s="2463"/>
      <c r="AK834" s="2463"/>
      <c r="AL834" s="814"/>
      <c r="AM834" s="594"/>
    </row>
    <row r="835" spans="1:81" s="534" customFormat="1" hidden="1">
      <c r="A835" s="816" t="s">
        <v>587</v>
      </c>
      <c r="B835" s="2480" t="s">
        <v>1566</v>
      </c>
      <c r="C835" s="2480"/>
      <c r="D835" s="2480"/>
      <c r="E835" s="2480"/>
      <c r="F835" s="2480"/>
      <c r="G835" s="2480"/>
      <c r="H835" s="2480"/>
      <c r="I835" s="2480"/>
      <c r="J835" s="2480"/>
      <c r="K835" s="2480"/>
      <c r="L835" s="2480"/>
      <c r="M835" s="2480"/>
      <c r="N835" s="2480"/>
      <c r="O835" s="2480"/>
      <c r="P835" s="2480"/>
      <c r="Q835" s="2480"/>
      <c r="R835" s="2480"/>
      <c r="S835" s="2481"/>
      <c r="T835" s="2482">
        <f>IF(AK548&gt;5,5,AK548)</f>
        <v>0</v>
      </c>
      <c r="U835" s="2482"/>
      <c r="V835" s="2482"/>
      <c r="W835" s="2482"/>
      <c r="X835" s="2482"/>
      <c r="Y835" s="2482"/>
      <c r="Z835" s="2463">
        <v>5</v>
      </c>
      <c r="AA835" s="2463"/>
      <c r="AB835" s="2463"/>
      <c r="AC835" s="2463"/>
      <c r="AD835" s="2463"/>
      <c r="AE835" s="2463"/>
      <c r="AF835" s="2463"/>
      <c r="AG835" s="2463"/>
      <c r="AH835" s="2463"/>
      <c r="AI835" s="2463"/>
      <c r="AJ835" s="2463"/>
      <c r="AK835" s="246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0" t="str">
        <f>B275</f>
        <v>Readiness to Proceed</v>
      </c>
      <c r="C836" s="2480"/>
      <c r="D836" s="2480"/>
      <c r="E836" s="2480"/>
      <c r="F836" s="2480"/>
      <c r="G836" s="2480"/>
      <c r="H836" s="2480"/>
      <c r="I836" s="2480"/>
      <c r="J836" s="2480"/>
      <c r="K836" s="2480"/>
      <c r="L836" s="2480"/>
      <c r="M836" s="2480"/>
      <c r="N836" s="2480"/>
      <c r="O836" s="2480"/>
      <c r="P836" s="2480"/>
      <c r="Q836" s="2480"/>
      <c r="R836" s="2480"/>
      <c r="S836" s="2481"/>
      <c r="T836" s="2482">
        <f>AK298</f>
        <v>10</v>
      </c>
      <c r="U836" s="2482"/>
      <c r="V836" s="2482"/>
      <c r="W836" s="2482"/>
      <c r="X836" s="2482"/>
      <c r="Y836" s="2482"/>
      <c r="Z836" s="2463">
        <v>10</v>
      </c>
      <c r="AA836" s="2463"/>
      <c r="AB836" s="2463"/>
      <c r="AC836" s="2463"/>
      <c r="AD836" s="2463"/>
      <c r="AE836" s="2463"/>
      <c r="AF836" s="2491">
        <f>IF(T836&gt;Z836,Z836,T836)</f>
        <v>10</v>
      </c>
      <c r="AG836" s="2492"/>
      <c r="AH836" s="2492"/>
      <c r="AI836" s="2492"/>
      <c r="AJ836" s="2492"/>
      <c r="AK836" s="249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0" t="str">
        <f>B301</f>
        <v>Access to Opportunity</v>
      </c>
      <c r="C837" s="2480"/>
      <c r="D837" s="2480"/>
      <c r="E837" s="2480"/>
      <c r="F837" s="2480"/>
      <c r="G837" s="2480"/>
      <c r="H837" s="2480"/>
      <c r="I837" s="2480"/>
      <c r="J837" s="2480"/>
      <c r="K837" s="2480"/>
      <c r="L837" s="2480"/>
      <c r="M837" s="2480"/>
      <c r="N837" s="2480"/>
      <c r="O837" s="2480"/>
      <c r="P837" s="2480"/>
      <c r="Q837" s="2480"/>
      <c r="R837" s="2480"/>
      <c r="S837" s="2481"/>
      <c r="T837" s="2482">
        <f>AK351</f>
        <v>10</v>
      </c>
      <c r="U837" s="2482"/>
      <c r="V837" s="2482"/>
      <c r="W837" s="2482"/>
      <c r="X837" s="2482"/>
      <c r="Y837" s="2482"/>
      <c r="Z837" s="2491">
        <v>10</v>
      </c>
      <c r="AA837" s="2492"/>
      <c r="AB837" s="2492"/>
      <c r="AC837" s="2492"/>
      <c r="AD837" s="2492"/>
      <c r="AE837" s="2493"/>
      <c r="AF837" s="2491">
        <f>IF(T837&gt;Z837,Z837,T837)</f>
        <v>10</v>
      </c>
      <c r="AG837" s="2492"/>
      <c r="AH837" s="2492"/>
      <c r="AI837" s="2492"/>
      <c r="AJ837" s="2492"/>
      <c r="AK837" s="249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88">
        <f>AK351</f>
        <v>10</v>
      </c>
      <c r="U838" s="2488"/>
      <c r="V838" s="2488"/>
      <c r="W838" s="2488"/>
      <c r="X838" s="2488"/>
      <c r="Y838" s="2488"/>
      <c r="Z838" s="2392">
        <v>20</v>
      </c>
      <c r="AA838" s="2438"/>
      <c r="AB838" s="2438"/>
      <c r="AC838" s="2438"/>
      <c r="AD838" s="2438"/>
      <c r="AE838" s="2393"/>
      <c r="AF838" s="2490"/>
      <c r="AG838" s="2490"/>
      <c r="AH838" s="2490"/>
      <c r="AI838" s="2490"/>
      <c r="AJ838" s="2490"/>
      <c r="AK838" s="249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0" t="s">
        <v>843</v>
      </c>
      <c r="C839" s="2480"/>
      <c r="D839" s="2480"/>
      <c r="E839" s="2480"/>
      <c r="F839" s="2480"/>
      <c r="G839" s="2480"/>
      <c r="H839" s="2480"/>
      <c r="I839" s="2480"/>
      <c r="J839" s="2480"/>
      <c r="K839" s="2480"/>
      <c r="L839" s="2480"/>
      <c r="M839" s="2480"/>
      <c r="N839" s="2480"/>
      <c r="O839" s="2480"/>
      <c r="P839" s="2480"/>
      <c r="Q839" s="2480"/>
      <c r="R839" s="2480"/>
      <c r="S839" s="2481"/>
      <c r="T839" s="2482">
        <f>AK482</f>
        <v>10</v>
      </c>
      <c r="U839" s="2482"/>
      <c r="V839" s="2482"/>
      <c r="W839" s="2482"/>
      <c r="X839" s="2482"/>
      <c r="Y839" s="2482"/>
      <c r="Z839" s="2491">
        <v>10</v>
      </c>
      <c r="AA839" s="2492"/>
      <c r="AB839" s="2492"/>
      <c r="AC839" s="2492"/>
      <c r="AD839" s="2492"/>
      <c r="AE839" s="2493"/>
      <c r="AF839" s="2463">
        <f>IF(T839&gt;Z839,Z839,T839)</f>
        <v>10</v>
      </c>
      <c r="AG839" s="2463"/>
      <c r="AH839" s="2463"/>
      <c r="AI839" s="2463"/>
      <c r="AJ839" s="2463"/>
      <c r="AK839" s="246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0" t="s">
        <v>1548</v>
      </c>
      <c r="C840" s="2480"/>
      <c r="D840" s="2480"/>
      <c r="E840" s="2480"/>
      <c r="F840" s="2480"/>
      <c r="G840" s="2480"/>
      <c r="H840" s="2480"/>
      <c r="I840" s="2480"/>
      <c r="J840" s="2480"/>
      <c r="K840" s="2480"/>
      <c r="L840" s="2480"/>
      <c r="M840" s="2480"/>
      <c r="N840" s="2480"/>
      <c r="O840" s="2480"/>
      <c r="P840" s="2480"/>
      <c r="Q840" s="2480"/>
      <c r="R840" s="2480"/>
      <c r="S840" s="2481"/>
      <c r="T840" s="2482">
        <f>AK572</f>
        <v>12</v>
      </c>
      <c r="U840" s="2482"/>
      <c r="V840" s="2482"/>
      <c r="W840" s="2482"/>
      <c r="X840" s="2482"/>
      <c r="Y840" s="2482"/>
      <c r="Z840" s="2491">
        <v>12</v>
      </c>
      <c r="AA840" s="2492"/>
      <c r="AB840" s="2492"/>
      <c r="AC840" s="2492"/>
      <c r="AD840" s="2492"/>
      <c r="AE840" s="2493"/>
      <c r="AF840" s="2463">
        <f>IF(T840&gt;Z840,Z840,T840)</f>
        <v>12</v>
      </c>
      <c r="AG840" s="2463"/>
      <c r="AH840" s="2463"/>
      <c r="AI840" s="2463"/>
      <c r="AJ840" s="2463"/>
      <c r="AK840" s="246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0" t="s">
        <v>1568</v>
      </c>
      <c r="C841" s="2480"/>
      <c r="D841" s="2480"/>
      <c r="E841" s="2480"/>
      <c r="F841" s="2480"/>
      <c r="G841" s="2480"/>
      <c r="H841" s="2480"/>
      <c r="I841" s="2480"/>
      <c r="J841" s="2480"/>
      <c r="K841" s="2480"/>
      <c r="L841" s="2480"/>
      <c r="M841" s="2480"/>
      <c r="N841" s="2480"/>
      <c r="O841" s="2480"/>
      <c r="P841" s="2480"/>
      <c r="Q841" s="2480"/>
      <c r="R841" s="2480"/>
      <c r="S841" s="2481"/>
      <c r="T841" s="2482">
        <f>AK816</f>
        <v>10</v>
      </c>
      <c r="U841" s="2482"/>
      <c r="V841" s="2482"/>
      <c r="W841" s="2482"/>
      <c r="X841" s="2482"/>
      <c r="Y841" s="2482"/>
      <c r="Z841" s="2491">
        <v>10</v>
      </c>
      <c r="AA841" s="2492"/>
      <c r="AB841" s="2492"/>
      <c r="AC841" s="2492"/>
      <c r="AD841" s="2492"/>
      <c r="AE841" s="2493"/>
      <c r="AF841" s="2463">
        <f>IF(T841&gt;Z841,Z841,T841)</f>
        <v>10</v>
      </c>
      <c r="AG841" s="2463"/>
      <c r="AH841" s="2463"/>
      <c r="AI841" s="2463"/>
      <c r="AJ841" s="2463"/>
      <c r="AK841" s="246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200"/>
      <c r="T842" s="2494"/>
      <c r="U842" s="2494"/>
      <c r="V842" s="2494"/>
      <c r="W842" s="2494"/>
      <c r="X842" s="2494"/>
      <c r="Y842" s="2494"/>
      <c r="Z842" s="2489" t="s">
        <v>1570</v>
      </c>
      <c r="AA842" s="2489"/>
      <c r="AB842" s="2489"/>
      <c r="AC842" s="2489"/>
      <c r="AD842" s="2489"/>
      <c r="AE842" s="2489"/>
      <c r="AF842" s="2491">
        <f>ABS(T842)</f>
        <v>0</v>
      </c>
      <c r="AG842" s="2492"/>
      <c r="AH842" s="2492"/>
      <c r="AI842" s="2492"/>
      <c r="AJ842" s="2492"/>
      <c r="AK842" s="249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5" t="s">
        <v>1571</v>
      </c>
      <c r="B843" s="2496"/>
      <c r="C843" s="2496"/>
      <c r="D843" s="2496"/>
      <c r="E843" s="2496"/>
      <c r="F843" s="2496"/>
      <c r="G843" s="2496"/>
      <c r="H843" s="2496"/>
      <c r="I843" s="2496"/>
      <c r="J843" s="2496"/>
      <c r="K843" s="2496"/>
      <c r="L843" s="2496"/>
      <c r="M843" s="2496"/>
      <c r="N843" s="2496"/>
      <c r="O843" s="2496"/>
      <c r="P843" s="2496"/>
      <c r="Q843" s="2496"/>
      <c r="R843" s="2496"/>
      <c r="S843" s="2496"/>
      <c r="T843" s="2496"/>
      <c r="U843" s="2496"/>
      <c r="V843" s="2496"/>
      <c r="W843" s="2496"/>
      <c r="X843" s="2496"/>
      <c r="Y843" s="2496"/>
      <c r="Z843" s="2496"/>
      <c r="AA843" s="2496"/>
      <c r="AB843" s="2496"/>
      <c r="AC843" s="2496"/>
      <c r="AD843" s="2496"/>
      <c r="AE843" s="2497"/>
      <c r="AF843" s="2501">
        <f ca="1">SUM(AF826:AK841)-AF842</f>
        <v>112</v>
      </c>
      <c r="AG843" s="2502"/>
      <c r="AH843" s="2502"/>
      <c r="AI843" s="2502"/>
      <c r="AJ843" s="2502"/>
      <c r="AK843" s="250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8"/>
      <c r="B844" s="2499"/>
      <c r="C844" s="2499"/>
      <c r="D844" s="2499"/>
      <c r="E844" s="2499"/>
      <c r="F844" s="2499"/>
      <c r="G844" s="2499"/>
      <c r="H844" s="2499"/>
      <c r="I844" s="2499"/>
      <c r="J844" s="2499"/>
      <c r="K844" s="2499"/>
      <c r="L844" s="2499"/>
      <c r="M844" s="2499"/>
      <c r="N844" s="2499"/>
      <c r="O844" s="2499"/>
      <c r="P844" s="2499"/>
      <c r="Q844" s="2499"/>
      <c r="R844" s="2499"/>
      <c r="S844" s="2499"/>
      <c r="T844" s="2499"/>
      <c r="U844" s="2499"/>
      <c r="V844" s="2499"/>
      <c r="W844" s="2499"/>
      <c r="X844" s="2499"/>
      <c r="Y844" s="2499"/>
      <c r="Z844" s="2499"/>
      <c r="AA844" s="2499"/>
      <c r="AB844" s="2499"/>
      <c r="AC844" s="2499"/>
      <c r="AD844" s="2499"/>
      <c r="AE844" s="2500"/>
      <c r="AF844" s="2504"/>
      <c r="AG844" s="2505"/>
      <c r="AH844" s="2505"/>
      <c r="AI844" s="2505"/>
      <c r="AJ844" s="2505"/>
      <c r="AK844" s="250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2473F7837C73F488282D880A036F0FF" ma:contentTypeVersion="20" ma:contentTypeDescription="Create a new document." ma:contentTypeScope="" ma:versionID="2cde5eccd5a8be1b6042507eae7555ac">
  <xsd:schema xmlns:xsd="http://www.w3.org/2001/XMLSchema" xmlns:xs="http://www.w3.org/2001/XMLSchema" xmlns:p="http://schemas.microsoft.com/office/2006/metadata/properties" xmlns:ns2="5cafa1ab-b877-495b-8f46-4ca1cff03e11" xmlns:ns3="9595dc79-52d3-4820-afd5-a3f4a4ca2acc" targetNamespace="http://schemas.microsoft.com/office/2006/metadata/properties" ma:root="true" ma:fieldsID="a5f670502a6528c01dd83388928ec397" ns2:_="" ns3:_="">
    <xsd:import namespace="5cafa1ab-b877-495b-8f46-4ca1cff03e11"/>
    <xsd:import namespace="9595dc79-52d3-4820-afd5-a3f4a4ca2acc"/>
    <xsd:element name="properties">
      <xsd:complexType>
        <xsd:sequence>
          <xsd:element name="documentManagement">
            <xsd:complexType>
              <xsd:all>
                <xsd:element ref="ns2:Details" minOccurs="0"/>
                <xsd:element ref="ns2:Sign_x002d_off_x0020_status" minOccurs="0"/>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afa1ab-b877-495b-8f46-4ca1cff03e11" elementFormDefault="qualified">
    <xsd:import namespace="http://schemas.microsoft.com/office/2006/documentManagement/types"/>
    <xsd:import namespace="http://schemas.microsoft.com/office/infopath/2007/PartnerControls"/>
    <xsd:element name="Details" ma:index="8" nillable="true" ma:displayName="Details" ma:internalName="Details">
      <xsd:simpleType>
        <xsd:restriction base="dms:Text">
          <xsd:maxLength value="255"/>
        </xsd:restriction>
      </xsd:simpleType>
    </xsd:element>
    <xsd:element name="Sign_x002d_off_x0020_status" ma:index="9" nillable="true" ma:displayName="Sign-off status" ma:internalName="Sign_x002d_off_x0020_status">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622323d-99d3-435a-8a5e-386b723c299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95dc79-52d3-4820-afd5-a3f4a4ca2a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e7b650-631d-439d-8b5b-317cf0dee23f}" ma:internalName="TaxCatchAll" ma:showField="CatchAllData" ma:web="9595dc79-52d3-4820-afd5-a3f4a4ca2ac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etails xmlns="5cafa1ab-b877-495b-8f46-4ca1cff03e11" xsi:nil="true"/>
    <lcf76f155ced4ddcb4097134ff3c332f xmlns="5cafa1ab-b877-495b-8f46-4ca1cff03e11">
      <Terms xmlns="http://schemas.microsoft.com/office/infopath/2007/PartnerControls"/>
    </lcf76f155ced4ddcb4097134ff3c332f>
    <TaxCatchAll xmlns="9595dc79-52d3-4820-afd5-a3f4a4ca2acc" xsi:nil="true"/>
    <Sign_x002d_off_x0020_status xmlns="5cafa1ab-b877-495b-8f46-4ca1cff03e11" xsi:nil="true"/>
  </documentManagement>
</p:properties>
</file>

<file path=customXml/itemProps1.xml><?xml version="1.0" encoding="utf-8"?>
<ds:datastoreItem xmlns:ds="http://schemas.openxmlformats.org/officeDocument/2006/customXml" ds:itemID="{35B4DE75-B0BA-4642-A41D-F861E7A683C7}">
  <ds:schemaRefs>
    <ds:schemaRef ds:uri="http://schemas.microsoft.com/sharepoint/v3/contenttype/forms"/>
  </ds:schemaRefs>
</ds:datastoreItem>
</file>

<file path=customXml/itemProps2.xml><?xml version="1.0" encoding="utf-8"?>
<ds:datastoreItem xmlns:ds="http://schemas.openxmlformats.org/officeDocument/2006/customXml" ds:itemID="{AC9148A0-BA3F-4EE4-BB9E-41E2A9A78F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afa1ab-b877-495b-8f46-4ca1cff03e11"/>
    <ds:schemaRef ds:uri="9595dc79-52d3-4820-afd5-a3f4a4ca2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071AC35-3BCD-4D8A-8A54-1B570030D06A}">
  <ds:schemaRefs>
    <ds:schemaRef ds:uri="http://schemas.microsoft.com/office/2006/metadata/properties"/>
    <ds:schemaRef ds:uri="http://schemas.microsoft.com/office/infopath/2007/PartnerControls"/>
    <ds:schemaRef ds:uri="5cafa1ab-b877-495b-8f46-4ca1cff03e11"/>
    <ds:schemaRef ds:uri="9595dc79-52d3-4820-afd5-a3f4a4ca2acc"/>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Ryan Schultz</cp:lastModifiedBy>
  <cp:lastPrinted>2026-05-08T02:14:34Z</cp:lastPrinted>
  <dcterms:created xsi:type="dcterms:W3CDTF">2007-12-27T18:26:28Z</dcterms:created>
  <dcterms:modified xsi:type="dcterms:W3CDTF">2026-05-19T06:33:20Z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0x01010002473F7837C73F488282D880A036F0FF</vt:lpwstr>
  </property>
  <property fmtid="{D5CDD505-2E9C-101B-9397-08002B2CF9AE}" pid="3" name="MediaServiceImageTags">
    <vt:lpwstr/>
  </property>
</Properties>
</file>